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19416" windowHeight="11616" tabRatio="878"/>
  </bookViews>
  <sheets>
    <sheet name="図表1-5" sheetId="1" r:id="rId1"/>
    <sheet name="図表1-7,8" sheetId="2" r:id="rId2"/>
    <sheet name="図表1-12" sheetId="3" r:id="rId3"/>
    <sheet name="図表1-13" sheetId="27" r:id="rId4"/>
    <sheet name="図表1-16" sheetId="4" r:id="rId5"/>
    <sheet name="図表1-20" sheetId="28" r:id="rId6"/>
    <sheet name="図表1-21" sheetId="29" r:id="rId7"/>
    <sheet name="図表1-22" sheetId="30" r:id="rId8"/>
    <sheet name="図表1-23" sheetId="31" r:id="rId9"/>
    <sheet name="図表1-24" sheetId="32" r:id="rId10"/>
    <sheet name="図表1-26" sheetId="33" r:id="rId11"/>
    <sheet name="図表1-27" sheetId="34" r:id="rId12"/>
    <sheet name="図表1-28" sheetId="35" r:id="rId13"/>
    <sheet name="図表1-29" sheetId="36" r:id="rId14"/>
    <sheet name="図表1-30" sheetId="37" r:id="rId15"/>
    <sheet name="図表1-31" sheetId="38" r:id="rId16"/>
    <sheet name="図表2-4" sheetId="5" r:id="rId17"/>
    <sheet name="図表2-8" sheetId="39" r:id="rId18"/>
    <sheet name="図表2-16" sheetId="6" r:id="rId19"/>
    <sheet name="図表2-22" sheetId="40" r:id="rId20"/>
    <sheet name="図表2-23" sheetId="41" r:id="rId21"/>
    <sheet name="図表2-33" sheetId="7" r:id="rId22"/>
    <sheet name="図表2-34" sheetId="42" r:id="rId23"/>
    <sheet name="図表2-39" sheetId="8" r:id="rId24"/>
    <sheet name="図表2-40" sheetId="44" r:id="rId25"/>
    <sheet name="図表2-41" sheetId="43" r:id="rId26"/>
    <sheet name="図表2-43" sheetId="9" r:id="rId27"/>
    <sheet name="図表2-44" sheetId="45" r:id="rId28"/>
    <sheet name="図表3-1" sheetId="10" r:id="rId29"/>
    <sheet name="図表3-4" sheetId="46" r:id="rId30"/>
    <sheet name="図表3-5" sheetId="47" r:id="rId31"/>
    <sheet name="図表3-7" sheetId="11" r:id="rId32"/>
    <sheet name="図表3-12" sheetId="12" r:id="rId33"/>
    <sheet name="図表3-31" sheetId="13" r:id="rId34"/>
    <sheet name="図表3-35,36" sheetId="14" r:id="rId35"/>
    <sheet name="図表3-37" sheetId="15" r:id="rId36"/>
    <sheet name="図表4-3" sheetId="48" r:id="rId37"/>
    <sheet name="図表4-10" sheetId="49" r:id="rId38"/>
    <sheet name="図表4-11" sheetId="50" r:id="rId39"/>
    <sheet name="図表4-17" sheetId="16" r:id="rId40"/>
    <sheet name="図表4-33" sheetId="51" r:id="rId41"/>
    <sheet name="図表4-35" sheetId="17" r:id="rId42"/>
    <sheet name="図表5-3" sheetId="19" r:id="rId43"/>
    <sheet name="図表5-4" sheetId="52" r:id="rId44"/>
    <sheet name="図表5-17" sheetId="53" r:id="rId45"/>
    <sheet name="図表5-19" sheetId="54" r:id="rId46"/>
    <sheet name="図表5-21" sheetId="55" r:id="rId47"/>
    <sheet name="図表5-23,25,26" sheetId="20" r:id="rId48"/>
    <sheet name="図表6-1,2" sheetId="21" r:id="rId49"/>
    <sheet name="図表6-3,6" sheetId="57" r:id="rId50"/>
    <sheet name="図表6-4" sheetId="58" r:id="rId51"/>
    <sheet name="図表6-5" sheetId="59" r:id="rId52"/>
    <sheet name="図表6-7" sheetId="60" r:id="rId53"/>
    <sheet name="図表6-9" sheetId="61" r:id="rId54"/>
    <sheet name="図表6-10" sheetId="62" r:id="rId55"/>
    <sheet name="図表6-11" sheetId="22" r:id="rId56"/>
    <sheet name="図表6-12" sheetId="63" r:id="rId57"/>
    <sheet name="図表6-13" sheetId="64" r:id="rId58"/>
    <sheet name="図表6-14,15" sheetId="23" r:id="rId59"/>
    <sheet name="図表6-16" sheetId="67" r:id="rId60"/>
    <sheet name="図表6-17" sheetId="68" r:id="rId61"/>
    <sheet name="図表6-18" sheetId="69" r:id="rId62"/>
    <sheet name="図表6-19" sheetId="70" r:id="rId63"/>
    <sheet name="図表6-20,21" sheetId="66" r:id="rId64"/>
    <sheet name="図表6-23" sheetId="71" r:id="rId65"/>
    <sheet name="図表6-24" sheetId="72" r:id="rId66"/>
    <sheet name="図表6-25" sheetId="73" r:id="rId67"/>
    <sheet name="図表6-26" sheetId="74" r:id="rId68"/>
    <sheet name="図表6-27" sheetId="75" r:id="rId69"/>
    <sheet name="図表6-28" sheetId="76" r:id="rId70"/>
    <sheet name="図表6-29" sheetId="77" r:id="rId71"/>
    <sheet name="図表6-30" sheetId="78" r:id="rId72"/>
    <sheet name="図表6-33,34" sheetId="84" r:id="rId73"/>
    <sheet name="図表7-19,20" sheetId="24" r:id="rId74"/>
    <sheet name="図表7-21" sheetId="80" r:id="rId75"/>
    <sheet name="図表7-22" sheetId="81" r:id="rId76"/>
    <sheet name="図表7-24,25" sheetId="82" r:id="rId77"/>
    <sheet name="図表7-30,31" sheetId="83" r:id="rId78"/>
  </sheets>
  <externalReferences>
    <externalReference r:id="rId79"/>
  </externalReferences>
  <definedNames>
    <definedName name="原価ﾃﾞｰﾀ" localSheetId="72">[1]戦略見直型!$K$7:$K$9,[1]戦略見直型!$L$7:$L$9,[1]戦略見直型!$G$7:$G$18,[1]戦略見直型!#REF!,[1]戦略見直型!$G$22:$G$33,[1]戦略見直型!#REF!,[1]戦略見直型!#REF!,[1]戦略見直型!$L$11:$N$18,[1]戦略見直型!$J$22:$N$33</definedName>
    <definedName name="原価ﾃﾞｰﾀ">[1]戦略見直型!$K$7:$K$9,[1]戦略見直型!$L$7:$L$9,[1]戦略見直型!$G$7:$G$18,[1]戦略見直型!#REF!,[1]戦略見直型!$G$22:$G$33,[1]戦略見直型!#REF!,[1]戦略見直型!#REF!,[1]戦略見直型!$L$11:$N$18,[1]戦略見直型!$J$22:$N$33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84"/>
  <c r="F2"/>
  <c r="G2"/>
  <c r="D3"/>
  <c r="F3"/>
  <c r="G3"/>
  <c r="D4"/>
  <c r="E4" s="1"/>
  <c r="F4"/>
  <c r="G4"/>
  <c r="D5"/>
  <c r="E2" s="1"/>
  <c r="H6"/>
  <c r="I6" s="1"/>
  <c r="E3" l="1"/>
  <c r="H3"/>
  <c r="I3" s="1"/>
  <c r="H4"/>
  <c r="I4" s="1"/>
  <c r="H2"/>
  <c r="F34" i="83"/>
  <c r="F32" s="1"/>
  <c r="F33"/>
  <c r="D31"/>
  <c r="O10"/>
  <c r="N10"/>
  <c r="M10"/>
  <c r="O9"/>
  <c r="N9"/>
  <c r="M9"/>
  <c r="O8"/>
  <c r="N8"/>
  <c r="M8"/>
  <c r="O7"/>
  <c r="N7"/>
  <c r="M7"/>
  <c r="F28" s="1"/>
  <c r="O6"/>
  <c r="N6"/>
  <c r="M6"/>
  <c r="F27" s="1"/>
  <c r="O5"/>
  <c r="N5"/>
  <c r="M5"/>
  <c r="M16" s="1"/>
  <c r="O4"/>
  <c r="N4"/>
  <c r="M4"/>
  <c r="N3"/>
  <c r="M3"/>
  <c r="M14" s="1"/>
  <c r="H11" i="82"/>
  <c r="H10"/>
  <c r="H9"/>
  <c r="H8"/>
  <c r="K6"/>
  <c r="J6"/>
  <c r="I6"/>
  <c r="H6"/>
  <c r="K5"/>
  <c r="J5"/>
  <c r="I5"/>
  <c r="H5"/>
  <c r="K4"/>
  <c r="J4"/>
  <c r="I4"/>
  <c r="H4"/>
  <c r="K3"/>
  <c r="J3"/>
  <c r="I3"/>
  <c r="H3"/>
  <c r="G20" i="81"/>
  <c r="H20" s="1"/>
  <c r="I20" s="1"/>
  <c r="G24"/>
  <c r="G22" s="1"/>
  <c r="I22" s="1"/>
  <c r="J22" s="1"/>
  <c r="G23"/>
  <c r="G21" s="1"/>
  <c r="H21" s="1"/>
  <c r="I21" s="1"/>
  <c r="J21" s="1"/>
  <c r="J20" l="1"/>
  <c r="F26" i="83"/>
  <c r="G18" i="81"/>
  <c r="H18" s="1"/>
  <c r="I18" s="1"/>
  <c r="J18" s="1"/>
  <c r="I9" i="82"/>
  <c r="I11"/>
  <c r="F29" i="83"/>
  <c r="G17" i="81"/>
  <c r="H17" s="1"/>
  <c r="I17" s="1"/>
  <c r="J17" s="1"/>
  <c r="M15" i="83"/>
  <c r="G19" i="81"/>
  <c r="H19" s="1"/>
  <c r="I19" s="1"/>
  <c r="J19" s="1"/>
  <c r="F30" i="83"/>
  <c r="G16" i="81"/>
  <c r="H16" s="1"/>
  <c r="I16" s="1"/>
  <c r="J16" s="1"/>
  <c r="I10" i="82"/>
  <c r="G15" i="81"/>
  <c r="H15" s="1"/>
  <c r="I15" s="1"/>
  <c r="J15" s="1"/>
  <c r="I8" i="82"/>
  <c r="I2" i="84"/>
  <c r="H5"/>
  <c r="I5" s="1"/>
  <c r="H28" i="83"/>
  <c r="J32"/>
  <c r="H30"/>
  <c r="H27"/>
  <c r="H29"/>
  <c r="M17"/>
  <c r="H26"/>
  <c r="M18"/>
  <c r="F25"/>
  <c r="M19"/>
  <c r="M20"/>
  <c r="F24"/>
  <c r="F31" s="1"/>
  <c r="H31" s="1"/>
  <c r="Q12" i="80"/>
  <c r="P12"/>
  <c r="S12" s="1"/>
  <c r="T12" s="1"/>
  <c r="Q11"/>
  <c r="P11"/>
  <c r="Q10"/>
  <c r="P10"/>
  <c r="Q9"/>
  <c r="P9"/>
  <c r="Q8"/>
  <c r="Q7"/>
  <c r="P8"/>
  <c r="Q6"/>
  <c r="P6"/>
  <c r="P7"/>
  <c r="N26" i="78"/>
  <c r="N24" s="1"/>
  <c r="N23" s="1"/>
  <c r="N25"/>
  <c r="N22"/>
  <c r="N21"/>
  <c r="N20"/>
  <c r="N13"/>
  <c r="E11"/>
  <c r="D11"/>
  <c r="C11"/>
  <c r="B11"/>
  <c r="E10"/>
  <c r="D10"/>
  <c r="C10"/>
  <c r="B10"/>
  <c r="I4"/>
  <c r="I2"/>
  <c r="O14" s="1"/>
  <c r="O26" s="1"/>
  <c r="O3" i="77"/>
  <c r="P3" s="1"/>
  <c r="N6"/>
  <c r="N17"/>
  <c r="N16"/>
  <c r="N13"/>
  <c r="N12"/>
  <c r="E5"/>
  <c r="D5"/>
  <c r="C5"/>
  <c r="B5"/>
  <c r="I4"/>
  <c r="F4"/>
  <c r="F3"/>
  <c r="I2"/>
  <c r="O7" s="1"/>
  <c r="R7" s="1"/>
  <c r="F6" i="76"/>
  <c r="G6"/>
  <c r="G13" s="1"/>
  <c r="F7"/>
  <c r="G7"/>
  <c r="F8"/>
  <c r="G8"/>
  <c r="F9"/>
  <c r="G9"/>
  <c r="F10"/>
  <c r="G10"/>
  <c r="D11"/>
  <c r="E11"/>
  <c r="D12"/>
  <c r="D13"/>
  <c r="E13"/>
  <c r="D14"/>
  <c r="F21"/>
  <c r="F28" s="1"/>
  <c r="G21"/>
  <c r="G28" s="1"/>
  <c r="F22"/>
  <c r="G22"/>
  <c r="F23"/>
  <c r="G23"/>
  <c r="F24"/>
  <c r="G24"/>
  <c r="F25"/>
  <c r="G25"/>
  <c r="D26"/>
  <c r="E26"/>
  <c r="D27"/>
  <c r="D28"/>
  <c r="E28"/>
  <c r="D29"/>
  <c r="F80"/>
  <c r="D80"/>
  <c r="G79"/>
  <c r="F79"/>
  <c r="E79"/>
  <c r="D79"/>
  <c r="F68"/>
  <c r="G67"/>
  <c r="F67"/>
  <c r="O41"/>
  <c r="N41"/>
  <c r="M41"/>
  <c r="L41"/>
  <c r="K41"/>
  <c r="J41"/>
  <c r="O40"/>
  <c r="N40"/>
  <c r="M40"/>
  <c r="L40"/>
  <c r="K40"/>
  <c r="J40"/>
  <c r="O39"/>
  <c r="N39"/>
  <c r="M39"/>
  <c r="L39"/>
  <c r="K39"/>
  <c r="J39"/>
  <c r="O38"/>
  <c r="N38"/>
  <c r="M38"/>
  <c r="L38"/>
  <c r="K38"/>
  <c r="J38"/>
  <c r="O37"/>
  <c r="N37"/>
  <c r="M37"/>
  <c r="L37"/>
  <c r="K37"/>
  <c r="J37"/>
  <c r="D12" i="75"/>
  <c r="F11"/>
  <c r="E11"/>
  <c r="D11"/>
  <c r="C11"/>
  <c r="B11"/>
  <c r="E10"/>
  <c r="E12" s="1"/>
  <c r="D10"/>
  <c r="C10"/>
  <c r="C12" s="1"/>
  <c r="B10"/>
  <c r="I4"/>
  <c r="I2"/>
  <c r="E11" i="74"/>
  <c r="E12" s="1"/>
  <c r="D11"/>
  <c r="C11"/>
  <c r="C12" s="1"/>
  <c r="B11"/>
  <c r="F11" s="1"/>
  <c r="E10"/>
  <c r="D10"/>
  <c r="C10"/>
  <c r="B10"/>
  <c r="F10" s="1"/>
  <c r="I4" i="73"/>
  <c r="I2"/>
  <c r="E5" i="72"/>
  <c r="D5"/>
  <c r="C5"/>
  <c r="B5"/>
  <c r="I4"/>
  <c r="F4"/>
  <c r="F3"/>
  <c r="I6" s="1"/>
  <c r="I2"/>
  <c r="I5" i="71"/>
  <c r="J5"/>
  <c r="K5"/>
  <c r="L5"/>
  <c r="J4"/>
  <c r="K4"/>
  <c r="L4"/>
  <c r="I4"/>
  <c r="H16" i="66"/>
  <c r="G16"/>
  <c r="F16"/>
  <c r="E16"/>
  <c r="D16"/>
  <c r="C16"/>
  <c r="F15"/>
  <c r="F17" s="1"/>
  <c r="E15"/>
  <c r="E17" s="1"/>
  <c r="D15"/>
  <c r="D17" s="1"/>
  <c r="C15"/>
  <c r="H17" s="1"/>
  <c r="M5" i="70"/>
  <c r="L5"/>
  <c r="K5"/>
  <c r="J5"/>
  <c r="M4"/>
  <c r="L4"/>
  <c r="K4"/>
  <c r="J4"/>
  <c r="M5" i="69"/>
  <c r="L5"/>
  <c r="K5"/>
  <c r="J5"/>
  <c r="M4"/>
  <c r="L4"/>
  <c r="K4"/>
  <c r="J4"/>
  <c r="M5" i="68"/>
  <c r="L5"/>
  <c r="K5"/>
  <c r="J5"/>
  <c r="M4"/>
  <c r="L4"/>
  <c r="K4"/>
  <c r="J4"/>
  <c r="L5" i="67"/>
  <c r="M5"/>
  <c r="K5"/>
  <c r="J5"/>
  <c r="M4"/>
  <c r="L4"/>
  <c r="K4"/>
  <c r="J4"/>
  <c r="N4" s="1"/>
  <c r="J6" s="1"/>
  <c r="F10" i="66"/>
  <c r="E10"/>
  <c r="D10"/>
  <c r="C10"/>
  <c r="H9"/>
  <c r="F9"/>
  <c r="E9"/>
  <c r="G9" s="1"/>
  <c r="D9"/>
  <c r="C9"/>
  <c r="H8"/>
  <c r="G8"/>
  <c r="H7"/>
  <c r="G7"/>
  <c r="H6"/>
  <c r="G6"/>
  <c r="H5"/>
  <c r="G5"/>
  <c r="D15" i="64"/>
  <c r="C15"/>
  <c r="B15"/>
  <c r="D14"/>
  <c r="C14"/>
  <c r="B14"/>
  <c r="D13"/>
  <c r="C13"/>
  <c r="B13"/>
  <c r="G5"/>
  <c r="G3"/>
  <c r="D15" i="63"/>
  <c r="C15"/>
  <c r="B15"/>
  <c r="D14"/>
  <c r="C14"/>
  <c r="B14"/>
  <c r="D13"/>
  <c r="C13"/>
  <c r="B13"/>
  <c r="G6" i="62"/>
  <c r="G7"/>
  <c r="G8"/>
  <c r="G9"/>
  <c r="G5"/>
  <c r="F6"/>
  <c r="F7"/>
  <c r="F8"/>
  <c r="F9"/>
  <c r="F5"/>
  <c r="F10" s="1"/>
  <c r="D11"/>
  <c r="E10"/>
  <c r="D10"/>
  <c r="G8" i="61"/>
  <c r="G9"/>
  <c r="F5"/>
  <c r="E6"/>
  <c r="G6" s="1"/>
  <c r="E7"/>
  <c r="G7" s="1"/>
  <c r="E8"/>
  <c r="E9"/>
  <c r="E5"/>
  <c r="G5" s="1"/>
  <c r="D5"/>
  <c r="D7"/>
  <c r="F7" s="1"/>
  <c r="D8"/>
  <c r="F8" s="1"/>
  <c r="D9"/>
  <c r="F9" s="1"/>
  <c r="D6"/>
  <c r="F6" s="1"/>
  <c r="D14" i="60"/>
  <c r="E13"/>
  <c r="D13"/>
  <c r="D12"/>
  <c r="E11"/>
  <c r="D11"/>
  <c r="G10"/>
  <c r="F10"/>
  <c r="G9"/>
  <c r="F9"/>
  <c r="G8"/>
  <c r="F8"/>
  <c r="G7"/>
  <c r="F7"/>
  <c r="F13" s="1"/>
  <c r="G6"/>
  <c r="G11" s="1"/>
  <c r="F6"/>
  <c r="O10" i="59"/>
  <c r="N10"/>
  <c r="M10"/>
  <c r="L10"/>
  <c r="K10"/>
  <c r="J10"/>
  <c r="O9"/>
  <c r="N9"/>
  <c r="M9"/>
  <c r="L9"/>
  <c r="K9"/>
  <c r="J9"/>
  <c r="O8"/>
  <c r="N8"/>
  <c r="M8"/>
  <c r="L8"/>
  <c r="K8"/>
  <c r="J8"/>
  <c r="O7"/>
  <c r="N7"/>
  <c r="M7"/>
  <c r="L7"/>
  <c r="K7"/>
  <c r="K11" s="1"/>
  <c r="J7"/>
  <c r="O6"/>
  <c r="N6"/>
  <c r="M6"/>
  <c r="L6"/>
  <c r="K6"/>
  <c r="J6"/>
  <c r="J11" s="1"/>
  <c r="D14" i="58"/>
  <c r="E13"/>
  <c r="D13"/>
  <c r="D12"/>
  <c r="E11"/>
  <c r="D11"/>
  <c r="G10"/>
  <c r="F10"/>
  <c r="G9"/>
  <c r="F9"/>
  <c r="G8"/>
  <c r="F8"/>
  <c r="G7"/>
  <c r="F7"/>
  <c r="G6"/>
  <c r="F6"/>
  <c r="F13" s="1"/>
  <c r="D14" i="57"/>
  <c r="E13"/>
  <c r="D13"/>
  <c r="D12"/>
  <c r="E11"/>
  <c r="D11"/>
  <c r="G10"/>
  <c r="F10"/>
  <c r="G9"/>
  <c r="F9"/>
  <c r="G8"/>
  <c r="F8"/>
  <c r="G7"/>
  <c r="F7"/>
  <c r="G6"/>
  <c r="F6"/>
  <c r="F13" s="1"/>
  <c r="G11" i="58" l="1"/>
  <c r="F14" i="76"/>
  <c r="B14" i="78"/>
  <c r="F11"/>
  <c r="L11" i="59"/>
  <c r="L12"/>
  <c r="B12" i="75"/>
  <c r="I11" s="1"/>
  <c r="C12" i="78"/>
  <c r="N12" i="59"/>
  <c r="G7" i="64"/>
  <c r="G11" s="1"/>
  <c r="I6" i="77"/>
  <c r="O4" s="1"/>
  <c r="D12" i="78"/>
  <c r="G13" i="58"/>
  <c r="O11" i="59"/>
  <c r="I8" i="72"/>
  <c r="I10" s="1"/>
  <c r="D12" i="74"/>
  <c r="F11" i="60"/>
  <c r="B14" i="75"/>
  <c r="F26" i="76"/>
  <c r="S9" i="80"/>
  <c r="T9" s="1"/>
  <c r="S7"/>
  <c r="T7" s="1"/>
  <c r="S6"/>
  <c r="T6" s="1"/>
  <c r="J26" i="83"/>
  <c r="J28"/>
  <c r="J30"/>
  <c r="J27"/>
  <c r="J29"/>
  <c r="M27"/>
  <c r="J25"/>
  <c r="H25"/>
  <c r="M25" s="1"/>
  <c r="M30"/>
  <c r="K32"/>
  <c r="L32" s="1"/>
  <c r="J24"/>
  <c r="H24"/>
  <c r="M29"/>
  <c r="F10" i="78"/>
  <c r="I9" s="1"/>
  <c r="O10" s="1"/>
  <c r="P10" s="1"/>
  <c r="B12"/>
  <c r="E12"/>
  <c r="R14"/>
  <c r="O9"/>
  <c r="I8" i="77"/>
  <c r="O5" s="1"/>
  <c r="S7"/>
  <c r="P4"/>
  <c r="N15"/>
  <c r="N14" s="1"/>
  <c r="O12"/>
  <c r="O16"/>
  <c r="K9" i="76"/>
  <c r="O9" s="1"/>
  <c r="I53" s="1"/>
  <c r="M7"/>
  <c r="I9"/>
  <c r="H7"/>
  <c r="J7" s="1"/>
  <c r="H6"/>
  <c r="H10"/>
  <c r="J10" s="1"/>
  <c r="I6"/>
  <c r="I10"/>
  <c r="K10" s="1"/>
  <c r="H9"/>
  <c r="J9" s="1"/>
  <c r="I7"/>
  <c r="K7" s="1"/>
  <c r="O7" s="1"/>
  <c r="H8"/>
  <c r="J8" s="1"/>
  <c r="I8"/>
  <c r="K8" s="1"/>
  <c r="F12"/>
  <c r="M6"/>
  <c r="F13"/>
  <c r="M10"/>
  <c r="G54" s="1"/>
  <c r="F27"/>
  <c r="G11"/>
  <c r="M9"/>
  <c r="F29"/>
  <c r="G26"/>
  <c r="M8"/>
  <c r="F11"/>
  <c r="L43"/>
  <c r="T37" s="1"/>
  <c r="U37" s="1"/>
  <c r="N42"/>
  <c r="M42"/>
  <c r="J42"/>
  <c r="N43"/>
  <c r="O42"/>
  <c r="K42"/>
  <c r="E64"/>
  <c r="G51"/>
  <c r="E63"/>
  <c r="E62"/>
  <c r="E66"/>
  <c r="G53"/>
  <c r="G52"/>
  <c r="E65"/>
  <c r="I51"/>
  <c r="L42"/>
  <c r="J43"/>
  <c r="T40" s="1"/>
  <c r="W40" s="1"/>
  <c r="F10" i="75"/>
  <c r="I9" s="1"/>
  <c r="B12" i="74"/>
  <c r="I6" i="71"/>
  <c r="G15" i="66"/>
  <c r="C17"/>
  <c r="G17" s="1"/>
  <c r="H15"/>
  <c r="N4" i="70"/>
  <c r="J6" s="1"/>
  <c r="N4" i="69"/>
  <c r="J6" s="1"/>
  <c r="N4" i="68"/>
  <c r="J6" s="1"/>
  <c r="G9" i="64"/>
  <c r="G13" s="1"/>
  <c r="F11" i="62"/>
  <c r="G10"/>
  <c r="F11" i="61"/>
  <c r="G10"/>
  <c r="F10"/>
  <c r="E10"/>
  <c r="D10"/>
  <c r="D11"/>
  <c r="F12" i="60"/>
  <c r="G13"/>
  <c r="F14"/>
  <c r="L7" s="1"/>
  <c r="L10"/>
  <c r="M11" i="59"/>
  <c r="N11"/>
  <c r="J12"/>
  <c r="F12" i="58"/>
  <c r="F11"/>
  <c r="F14"/>
  <c r="G11" i="57"/>
  <c r="F14"/>
  <c r="G13"/>
  <c r="F11"/>
  <c r="F12"/>
  <c r="L25" i="83" l="1"/>
  <c r="K25"/>
  <c r="K24"/>
  <c r="L24"/>
  <c r="L29"/>
  <c r="K29"/>
  <c r="L26"/>
  <c r="K26"/>
  <c r="K27"/>
  <c r="L27"/>
  <c r="L30"/>
  <c r="K30"/>
  <c r="J31"/>
  <c r="L28"/>
  <c r="K28"/>
  <c r="I11" i="78"/>
  <c r="O11" s="1"/>
  <c r="O20"/>
  <c r="P20" s="1"/>
  <c r="I14"/>
  <c r="O12" s="1"/>
  <c r="S14"/>
  <c r="P9"/>
  <c r="O25"/>
  <c r="O24" s="1"/>
  <c r="R24" s="1"/>
  <c r="P5" i="77"/>
  <c r="O13"/>
  <c r="P13" s="1"/>
  <c r="I10"/>
  <c r="O6" s="1"/>
  <c r="P6" s="1"/>
  <c r="R5" s="1"/>
  <c r="S5" s="1"/>
  <c r="P12"/>
  <c r="O17"/>
  <c r="O15" s="1"/>
  <c r="R15" s="1"/>
  <c r="N10" i="76"/>
  <c r="L8"/>
  <c r="N8" s="1"/>
  <c r="L9"/>
  <c r="N9" s="1"/>
  <c r="H53" s="1"/>
  <c r="L7"/>
  <c r="F51" s="1"/>
  <c r="L6"/>
  <c r="L10"/>
  <c r="F54" s="1"/>
  <c r="I13"/>
  <c r="K6"/>
  <c r="I11"/>
  <c r="M11"/>
  <c r="M13"/>
  <c r="H14"/>
  <c r="H12"/>
  <c r="H11"/>
  <c r="H13"/>
  <c r="J6"/>
  <c r="O8"/>
  <c r="I52" s="1"/>
  <c r="O10"/>
  <c r="I54" s="1"/>
  <c r="E67"/>
  <c r="D64"/>
  <c r="D63"/>
  <c r="D66"/>
  <c r="D62"/>
  <c r="F53"/>
  <c r="D65"/>
  <c r="G50"/>
  <c r="G55" s="1"/>
  <c r="I14" i="75"/>
  <c r="I16" s="1"/>
  <c r="L8" i="60"/>
  <c r="I7"/>
  <c r="K7" s="1"/>
  <c r="O7" s="1"/>
  <c r="H7"/>
  <c r="J7" s="1"/>
  <c r="N7" s="1"/>
  <c r="I10"/>
  <c r="K10" s="1"/>
  <c r="I6"/>
  <c r="H10"/>
  <c r="J10" s="1"/>
  <c r="N10" s="1"/>
  <c r="H6"/>
  <c r="I9"/>
  <c r="K9" s="1"/>
  <c r="H8"/>
  <c r="J8" s="1"/>
  <c r="N8" s="1"/>
  <c r="H9"/>
  <c r="J9" s="1"/>
  <c r="N9" s="1"/>
  <c r="I8"/>
  <c r="K8" s="1"/>
  <c r="O8" s="1"/>
  <c r="L6"/>
  <c r="M9"/>
  <c r="M8"/>
  <c r="M7"/>
  <c r="M10"/>
  <c r="M6"/>
  <c r="L9"/>
  <c r="H9" i="58"/>
  <c r="J9" s="1"/>
  <c r="H10"/>
  <c r="J10" s="1"/>
  <c r="H6"/>
  <c r="I8"/>
  <c r="K8" s="1"/>
  <c r="H8"/>
  <c r="J8" s="1"/>
  <c r="I9"/>
  <c r="K9" s="1"/>
  <c r="I10"/>
  <c r="K10" s="1"/>
  <c r="I6"/>
  <c r="I7"/>
  <c r="K7" s="1"/>
  <c r="H7"/>
  <c r="J7" s="1"/>
  <c r="O9" i="60" l="1"/>
  <c r="N7" i="76"/>
  <c r="H51" s="1"/>
  <c r="O14" i="77"/>
  <c r="P14" s="1"/>
  <c r="R13" s="1"/>
  <c r="K31" i="83"/>
  <c r="L31"/>
  <c r="O22" i="78"/>
  <c r="P12"/>
  <c r="S24"/>
  <c r="I16"/>
  <c r="O13" s="1"/>
  <c r="P11"/>
  <c r="O21"/>
  <c r="Q6" i="77"/>
  <c r="R3"/>
  <c r="R4"/>
  <c r="S4" s="1"/>
  <c r="Q3"/>
  <c r="Q5"/>
  <c r="Q4"/>
  <c r="S13"/>
  <c r="R12"/>
  <c r="S12" s="1"/>
  <c r="Q13"/>
  <c r="S15"/>
  <c r="F52" i="76"/>
  <c r="L11"/>
  <c r="L12"/>
  <c r="L14"/>
  <c r="L13"/>
  <c r="J12"/>
  <c r="J11"/>
  <c r="J13"/>
  <c r="J14"/>
  <c r="N6"/>
  <c r="O6"/>
  <c r="K11"/>
  <c r="K13"/>
  <c r="F50"/>
  <c r="D67"/>
  <c r="D68"/>
  <c r="H52"/>
  <c r="H54"/>
  <c r="H14" i="60"/>
  <c r="H11"/>
  <c r="H13"/>
  <c r="H12"/>
  <c r="J6"/>
  <c r="M13"/>
  <c r="M11"/>
  <c r="I13"/>
  <c r="I11"/>
  <c r="K6"/>
  <c r="L14"/>
  <c r="L13"/>
  <c r="L12"/>
  <c r="L11"/>
  <c r="O10"/>
  <c r="I11" i="58"/>
  <c r="K6"/>
  <c r="I13"/>
  <c r="H14"/>
  <c r="H13"/>
  <c r="H11"/>
  <c r="H12"/>
  <c r="J6"/>
  <c r="Q12" i="77" l="1"/>
  <c r="O23" i="78"/>
  <c r="P23" s="1"/>
  <c r="R22" s="1"/>
  <c r="S22" s="1"/>
  <c r="P13"/>
  <c r="Q12"/>
  <c r="Q10"/>
  <c r="P22"/>
  <c r="P21"/>
  <c r="Q11"/>
  <c r="Q9"/>
  <c r="S3" i="77"/>
  <c r="R6"/>
  <c r="S6" s="1"/>
  <c r="R14"/>
  <c r="S14" s="1"/>
  <c r="O11" i="76"/>
  <c r="O13"/>
  <c r="N11"/>
  <c r="N12"/>
  <c r="N14"/>
  <c r="N13"/>
  <c r="F55"/>
  <c r="F56"/>
  <c r="T38" s="1"/>
  <c r="H50"/>
  <c r="I50"/>
  <c r="I55" s="1"/>
  <c r="K13" i="60"/>
  <c r="K11"/>
  <c r="O6"/>
  <c r="J14"/>
  <c r="J13"/>
  <c r="J12"/>
  <c r="J11"/>
  <c r="N6"/>
  <c r="J11" i="58"/>
  <c r="J14"/>
  <c r="J12"/>
  <c r="J13"/>
  <c r="K13"/>
  <c r="K11"/>
  <c r="R21" i="78" l="1"/>
  <c r="S21" s="1"/>
  <c r="R20"/>
  <c r="Q20"/>
  <c r="Q21"/>
  <c r="Q22"/>
  <c r="R10"/>
  <c r="S10" s="1"/>
  <c r="R9"/>
  <c r="R12"/>
  <c r="S12" s="1"/>
  <c r="R11"/>
  <c r="S11" s="1"/>
  <c r="U38" i="76"/>
  <c r="H55"/>
  <c r="H56"/>
  <c r="T39" s="1"/>
  <c r="U39" s="1"/>
  <c r="W38" s="1"/>
  <c r="X38" s="1"/>
  <c r="N14" i="60"/>
  <c r="N11"/>
  <c r="N12"/>
  <c r="N13"/>
  <c r="O11"/>
  <c r="O13"/>
  <c r="S9" i="78" l="1"/>
  <c r="R13"/>
  <c r="S13" s="1"/>
  <c r="S20"/>
  <c r="R23"/>
  <c r="S23" s="1"/>
  <c r="V38" i="76"/>
  <c r="W37"/>
  <c r="V37"/>
  <c r="X37" l="1"/>
  <c r="W39"/>
  <c r="X39" s="1"/>
  <c r="M19" i="55" l="1"/>
  <c r="L19"/>
  <c r="K19"/>
  <c r="J19"/>
  <c r="I19"/>
  <c r="H19"/>
  <c r="G19"/>
  <c r="F19"/>
  <c r="E19"/>
  <c r="D19"/>
  <c r="M18"/>
  <c r="L18"/>
  <c r="K18"/>
  <c r="J18"/>
  <c r="I18"/>
  <c r="H18"/>
  <c r="G18"/>
  <c r="F18"/>
  <c r="E18"/>
  <c r="D18"/>
  <c r="M17"/>
  <c r="L17"/>
  <c r="K17"/>
  <c r="J17"/>
  <c r="I17"/>
  <c r="H17"/>
  <c r="G17"/>
  <c r="F17"/>
  <c r="E17"/>
  <c r="D17"/>
  <c r="M16"/>
  <c r="L16"/>
  <c r="K16"/>
  <c r="J16"/>
  <c r="I16"/>
  <c r="H16"/>
  <c r="G16"/>
  <c r="F16"/>
  <c r="E16"/>
  <c r="D16"/>
  <c r="M15"/>
  <c r="L15"/>
  <c r="K15"/>
  <c r="J15"/>
  <c r="I15"/>
  <c r="H15"/>
  <c r="G15"/>
  <c r="F15"/>
  <c r="E15"/>
  <c r="D15"/>
  <c r="M14"/>
  <c r="L14"/>
  <c r="K14"/>
  <c r="J14"/>
  <c r="I14"/>
  <c r="H14"/>
  <c r="G14"/>
  <c r="F14"/>
  <c r="E14"/>
  <c r="D14"/>
  <c r="M13"/>
  <c r="L13"/>
  <c r="K13"/>
  <c r="J13"/>
  <c r="I13"/>
  <c r="H13"/>
  <c r="G13"/>
  <c r="F13"/>
  <c r="E13"/>
  <c r="D13"/>
  <c r="M12"/>
  <c r="L12"/>
  <c r="K12"/>
  <c r="J12"/>
  <c r="I12"/>
  <c r="H12"/>
  <c r="G12"/>
  <c r="F12"/>
  <c r="E12"/>
  <c r="D12"/>
  <c r="M11"/>
  <c r="L11"/>
  <c r="K11"/>
  <c r="J11"/>
  <c r="I11"/>
  <c r="H11"/>
  <c r="G11"/>
  <c r="F11"/>
  <c r="E11"/>
  <c r="D11"/>
  <c r="M10"/>
  <c r="L10"/>
  <c r="K10"/>
  <c r="J10"/>
  <c r="I10"/>
  <c r="H10"/>
  <c r="G10"/>
  <c r="F10"/>
  <c r="E10"/>
  <c r="D10"/>
  <c r="M9"/>
  <c r="L9"/>
  <c r="K9"/>
  <c r="J9"/>
  <c r="I9"/>
  <c r="H9"/>
  <c r="G9"/>
  <c r="F9"/>
  <c r="E9"/>
  <c r="D9"/>
  <c r="M8"/>
  <c r="L8"/>
  <c r="K8"/>
  <c r="J8"/>
  <c r="I8"/>
  <c r="H8"/>
  <c r="G8"/>
  <c r="F8"/>
  <c r="E8"/>
  <c r="D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  <c r="M5"/>
  <c r="L5"/>
  <c r="K5"/>
  <c r="J5"/>
  <c r="I5"/>
  <c r="H5"/>
  <c r="G5"/>
  <c r="F5"/>
  <c r="E5"/>
  <c r="D5"/>
  <c r="N3" i="52"/>
  <c r="I5" s="1"/>
  <c r="I7" i="50"/>
  <c r="M6"/>
  <c r="I6"/>
  <c r="E6"/>
  <c r="O4"/>
  <c r="N4"/>
  <c r="H7" s="1"/>
  <c r="O3"/>
  <c r="N3"/>
  <c r="L6" s="1"/>
  <c r="J8" i="49"/>
  <c r="O5"/>
  <c r="N5"/>
  <c r="I8" s="1"/>
  <c r="O4"/>
  <c r="N4"/>
  <c r="F7" s="1"/>
  <c r="L4" i="48"/>
  <c r="K4"/>
  <c r="J4"/>
  <c r="I4"/>
  <c r="H4"/>
  <c r="G4"/>
  <c r="F4"/>
  <c r="E4"/>
  <c r="D4"/>
  <c r="C4"/>
  <c r="B4"/>
  <c r="M3"/>
  <c r="M2"/>
  <c r="E6" i="54"/>
  <c r="E8"/>
  <c r="E10"/>
  <c r="E12"/>
  <c r="E14"/>
  <c r="E16"/>
  <c r="E18"/>
  <c r="E20"/>
  <c r="E22"/>
  <c r="D4"/>
  <c r="F22" i="53"/>
  <c r="E21"/>
  <c r="D20"/>
  <c r="F18"/>
  <c r="E17"/>
  <c r="D16"/>
  <c r="F14"/>
  <c r="E13"/>
  <c r="D12"/>
  <c r="F10"/>
  <c r="E9"/>
  <c r="D8"/>
  <c r="F6"/>
  <c r="E5"/>
  <c r="D4"/>
  <c r="G3" i="51"/>
  <c r="D6" i="54"/>
  <c r="D8"/>
  <c r="D10"/>
  <c r="D12"/>
  <c r="D14"/>
  <c r="D16"/>
  <c r="D18"/>
  <c r="D20"/>
  <c r="D22"/>
  <c r="E4"/>
  <c r="D23" i="53"/>
  <c r="F21"/>
  <c r="E20"/>
  <c r="D19"/>
  <c r="F17"/>
  <c r="E16"/>
  <c r="D15"/>
  <c r="F13"/>
  <c r="E12"/>
  <c r="D11"/>
  <c r="F9"/>
  <c r="E8"/>
  <c r="D7"/>
  <c r="F5"/>
  <c r="E4"/>
  <c r="F3" i="51"/>
  <c r="J3"/>
  <c r="C3"/>
  <c r="E5" i="54"/>
  <c r="E7"/>
  <c r="E9"/>
  <c r="E11"/>
  <c r="E13"/>
  <c r="E15"/>
  <c r="E17"/>
  <c r="E19"/>
  <c r="E21"/>
  <c r="E23"/>
  <c r="E23" i="53"/>
  <c r="D22"/>
  <c r="F20"/>
  <c r="E19"/>
  <c r="D18"/>
  <c r="F16"/>
  <c r="E15"/>
  <c r="D14"/>
  <c r="F12"/>
  <c r="E11"/>
  <c r="D10"/>
  <c r="F8"/>
  <c r="E7"/>
  <c r="D6"/>
  <c r="F4"/>
  <c r="E3" i="51"/>
  <c r="I3"/>
  <c r="M3"/>
  <c r="K3"/>
  <c r="D5" i="54"/>
  <c r="D7"/>
  <c r="D9"/>
  <c r="D11"/>
  <c r="D13"/>
  <c r="D15"/>
  <c r="D17"/>
  <c r="D19"/>
  <c r="D21"/>
  <c r="D23"/>
  <c r="F23" i="53"/>
  <c r="E22"/>
  <c r="D21"/>
  <c r="F19"/>
  <c r="E18"/>
  <c r="D17"/>
  <c r="F15"/>
  <c r="E14"/>
  <c r="D13"/>
  <c r="F11"/>
  <c r="E10"/>
  <c r="D9"/>
  <c r="F7"/>
  <c r="E6"/>
  <c r="D5"/>
  <c r="D3" i="51"/>
  <c r="H3"/>
  <c r="L3"/>
  <c r="J11" i="49" l="1"/>
  <c r="F6" i="50"/>
  <c r="N6"/>
  <c r="J7"/>
  <c r="C5" i="52"/>
  <c r="K5"/>
  <c r="M4" i="48"/>
  <c r="N4" s="1"/>
  <c r="J5" s="1"/>
  <c r="J6" s="1"/>
  <c r="J7" s="1"/>
  <c r="G6" i="50"/>
  <c r="C7"/>
  <c r="K7"/>
  <c r="D5" i="52"/>
  <c r="L5"/>
  <c r="H6" i="50"/>
  <c r="D7"/>
  <c r="L7"/>
  <c r="E5" i="52"/>
  <c r="M5"/>
  <c r="E7" i="50"/>
  <c r="M7"/>
  <c r="F5" i="52"/>
  <c r="F10" i="49"/>
  <c r="J6" i="50"/>
  <c r="F7"/>
  <c r="N7"/>
  <c r="G5" i="52"/>
  <c r="C6" i="50"/>
  <c r="O6" s="1"/>
  <c r="K6"/>
  <c r="G7"/>
  <c r="H5" i="52"/>
  <c r="J5"/>
  <c r="I11" i="49"/>
  <c r="D6" i="50"/>
  <c r="G7" i="49"/>
  <c r="G10" s="1"/>
  <c r="I7"/>
  <c r="I10" s="1"/>
  <c r="D8"/>
  <c r="D11" s="1"/>
  <c r="L8"/>
  <c r="L11" s="1"/>
  <c r="J7"/>
  <c r="J10" s="1"/>
  <c r="E8"/>
  <c r="E11" s="1"/>
  <c r="M8"/>
  <c r="M11" s="1"/>
  <c r="H7"/>
  <c r="H10" s="1"/>
  <c r="C8"/>
  <c r="K8"/>
  <c r="K11" s="1"/>
  <c r="C7"/>
  <c r="K7"/>
  <c r="K10" s="1"/>
  <c r="F8"/>
  <c r="F11" s="1"/>
  <c r="D7"/>
  <c r="D10" s="1"/>
  <c r="L7"/>
  <c r="L10" s="1"/>
  <c r="G8"/>
  <c r="G11" s="1"/>
  <c r="E7"/>
  <c r="E10" s="1"/>
  <c r="M7"/>
  <c r="M10" s="1"/>
  <c r="H8"/>
  <c r="H11" s="1"/>
  <c r="H5" i="48"/>
  <c r="H6" s="1"/>
  <c r="H7" s="1"/>
  <c r="K5"/>
  <c r="K6" s="1"/>
  <c r="K7" s="1"/>
  <c r="C5"/>
  <c r="C6" s="1"/>
  <c r="C7" s="1"/>
  <c r="N5" i="52" l="1"/>
  <c r="O7" i="50"/>
  <c r="D5" i="48"/>
  <c r="D6" s="1"/>
  <c r="D7" s="1"/>
  <c r="E5"/>
  <c r="E6" s="1"/>
  <c r="E7" s="1"/>
  <c r="L5"/>
  <c r="L6" s="1"/>
  <c r="L7" s="1"/>
  <c r="I5"/>
  <c r="I6" s="1"/>
  <c r="I7" s="1"/>
  <c r="F5"/>
  <c r="F6" s="1"/>
  <c r="F7" s="1"/>
  <c r="B5"/>
  <c r="G5"/>
  <c r="G6" s="1"/>
  <c r="G7" s="1"/>
  <c r="N7" i="49"/>
  <c r="C10"/>
  <c r="O7"/>
  <c r="O8"/>
  <c r="N8"/>
  <c r="C11"/>
  <c r="B6" i="48"/>
  <c r="M5"/>
  <c r="O11" i="49" l="1"/>
  <c r="N11"/>
  <c r="N10"/>
  <c r="O10"/>
  <c r="B7" i="48"/>
  <c r="M7" s="1"/>
  <c r="N7" s="1"/>
  <c r="N8" s="1"/>
  <c r="M6"/>
  <c r="C19" i="47" l="1"/>
  <c r="B19"/>
  <c r="C18"/>
  <c r="B18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8"/>
  <c r="E8" s="1"/>
  <c r="D7"/>
  <c r="E7" s="1"/>
  <c r="D6"/>
  <c r="E6" s="1"/>
  <c r="D5"/>
  <c r="E5" s="1"/>
  <c r="D4"/>
  <c r="E4" s="1"/>
  <c r="D3"/>
  <c r="C18" i="46"/>
  <c r="E16" s="1"/>
  <c r="B18"/>
  <c r="D17" s="1"/>
  <c r="P10" i="45"/>
  <c r="P9"/>
  <c r="O9"/>
  <c r="P8"/>
  <c r="O8"/>
  <c r="N8"/>
  <c r="P7"/>
  <c r="O7"/>
  <c r="N7"/>
  <c r="M7"/>
  <c r="P6"/>
  <c r="O6"/>
  <c r="N6"/>
  <c r="M6"/>
  <c r="L6"/>
  <c r="D15" i="44"/>
  <c r="F14" s="1"/>
  <c r="C15"/>
  <c r="E11" s="1"/>
  <c r="F6" i="43"/>
  <c r="I6" s="1"/>
  <c r="F7"/>
  <c r="I7" s="1"/>
  <c r="F9"/>
  <c r="I9" s="1"/>
  <c r="F10"/>
  <c r="F14"/>
  <c r="I14" s="1"/>
  <c r="F4"/>
  <c r="I4" s="1"/>
  <c r="E6"/>
  <c r="H6" s="1"/>
  <c r="E7"/>
  <c r="E11"/>
  <c r="H11" s="1"/>
  <c r="E12"/>
  <c r="H12" s="1"/>
  <c r="E14"/>
  <c r="E4"/>
  <c r="H4" s="1"/>
  <c r="D15"/>
  <c r="F8" s="1"/>
  <c r="I8" s="1"/>
  <c r="C15"/>
  <c r="E5" s="1"/>
  <c r="H14"/>
  <c r="I10"/>
  <c r="H7"/>
  <c r="D14" i="42"/>
  <c r="C14"/>
  <c r="M5" i="41"/>
  <c r="Q2" s="1"/>
  <c r="M4"/>
  <c r="M6" s="1"/>
  <c r="M8" s="1"/>
  <c r="M9" s="1"/>
  <c r="M3"/>
  <c r="M7" s="1"/>
  <c r="M5" i="40"/>
  <c r="M4"/>
  <c r="M6" s="1"/>
  <c r="M3"/>
  <c r="M7" s="1"/>
  <c r="C10" i="39"/>
  <c r="D9" s="1"/>
  <c r="D7"/>
  <c r="D6"/>
  <c r="D5"/>
  <c r="D3"/>
  <c r="D2"/>
  <c r="H5" i="5"/>
  <c r="H6" s="1"/>
  <c r="G13"/>
  <c r="K4" i="38"/>
  <c r="G4"/>
  <c r="C4"/>
  <c r="K4" i="37"/>
  <c r="G4"/>
  <c r="C4"/>
  <c r="C4" i="36"/>
  <c r="J10" i="35"/>
  <c r="J11" s="1"/>
  <c r="J4"/>
  <c r="J5" s="1"/>
  <c r="I4"/>
  <c r="I5" s="1"/>
  <c r="F4"/>
  <c r="F5" s="1"/>
  <c r="O9"/>
  <c r="N9"/>
  <c r="I10" s="1"/>
  <c r="I11" s="1"/>
  <c r="O3"/>
  <c r="N3"/>
  <c r="H4" s="1"/>
  <c r="H5" s="1"/>
  <c r="O4" i="34"/>
  <c r="N4"/>
  <c r="O3"/>
  <c r="N3"/>
  <c r="M6" i="33"/>
  <c r="M7" s="1"/>
  <c r="M8" s="1"/>
  <c r="L6"/>
  <c r="L7" s="1"/>
  <c r="L8" s="1"/>
  <c r="K6"/>
  <c r="J6"/>
  <c r="I6"/>
  <c r="H6"/>
  <c r="G6"/>
  <c r="G7" s="1"/>
  <c r="G8" s="1"/>
  <c r="F6"/>
  <c r="F7" s="1"/>
  <c r="F8" s="1"/>
  <c r="E6"/>
  <c r="D6"/>
  <c r="D7" s="1"/>
  <c r="D8" s="1"/>
  <c r="C6"/>
  <c r="K7"/>
  <c r="K8" s="1"/>
  <c r="I7"/>
  <c r="I8" s="1"/>
  <c r="H7"/>
  <c r="H8" s="1"/>
  <c r="J7"/>
  <c r="J8" s="1"/>
  <c r="E7"/>
  <c r="E8" s="1"/>
  <c r="M5"/>
  <c r="L5"/>
  <c r="K5"/>
  <c r="J5"/>
  <c r="I5"/>
  <c r="H5"/>
  <c r="G5"/>
  <c r="F5"/>
  <c r="E5"/>
  <c r="D5"/>
  <c r="C5"/>
  <c r="N3"/>
  <c r="J5" i="32"/>
  <c r="J6" s="1"/>
  <c r="I5"/>
  <c r="I6" s="1"/>
  <c r="N3"/>
  <c r="H5" s="1"/>
  <c r="H6" s="1"/>
  <c r="G4" i="29"/>
  <c r="C4"/>
  <c r="K4" i="28"/>
  <c r="G4"/>
  <c r="C4"/>
  <c r="D4" i="27"/>
  <c r="M5" i="3"/>
  <c r="L5"/>
  <c r="K5"/>
  <c r="J5"/>
  <c r="I5"/>
  <c r="H5"/>
  <c r="G5"/>
  <c r="F5"/>
  <c r="E5"/>
  <c r="D5"/>
  <c r="C5"/>
  <c r="G4" i="36"/>
  <c r="G4" i="30"/>
  <c r="K4" i="36"/>
  <c r="K4" i="30"/>
  <c r="C4"/>
  <c r="H7" i="5" l="1"/>
  <c r="C5" i="32"/>
  <c r="C7" s="1"/>
  <c r="K5"/>
  <c r="C4" i="35"/>
  <c r="C5" s="1"/>
  <c r="K4"/>
  <c r="K5" s="1"/>
  <c r="C10"/>
  <c r="C11" s="1"/>
  <c r="K10"/>
  <c r="K11" s="1"/>
  <c r="E10" i="43"/>
  <c r="H10" s="1"/>
  <c r="F13"/>
  <c r="I13" s="1"/>
  <c r="F5"/>
  <c r="I5" s="1"/>
  <c r="J7" i="32"/>
  <c r="D5"/>
  <c r="L5"/>
  <c r="D4" i="35"/>
  <c r="D5" s="1"/>
  <c r="L4"/>
  <c r="L5" s="1"/>
  <c r="D10"/>
  <c r="D11" s="1"/>
  <c r="L10"/>
  <c r="L11" s="1"/>
  <c r="E9" i="43"/>
  <c r="H9" s="1"/>
  <c r="F12"/>
  <c r="I12" s="1"/>
  <c r="E5" i="32"/>
  <c r="E7" s="1"/>
  <c r="M5"/>
  <c r="M7" s="1"/>
  <c r="E4" i="35"/>
  <c r="E5" s="1"/>
  <c r="M4"/>
  <c r="M5" s="1"/>
  <c r="E10"/>
  <c r="E11" s="1"/>
  <c r="M10"/>
  <c r="M11" s="1"/>
  <c r="E8" i="43"/>
  <c r="H8" s="1"/>
  <c r="F11"/>
  <c r="I11" s="1"/>
  <c r="F5" i="32"/>
  <c r="F6" s="1"/>
  <c r="F10" i="35"/>
  <c r="F11" s="1"/>
  <c r="G10" i="43"/>
  <c r="N5" i="3"/>
  <c r="G5" i="32"/>
  <c r="G6" s="1"/>
  <c r="N5" i="33"/>
  <c r="G4" i="35"/>
  <c r="G5" s="1"/>
  <c r="G10"/>
  <c r="G11" s="1"/>
  <c r="D19" i="47"/>
  <c r="H10" i="35"/>
  <c r="H11" s="1"/>
  <c r="D4" i="39"/>
  <c r="E13" i="43"/>
  <c r="H13" s="1"/>
  <c r="D18" i="47"/>
  <c r="E3"/>
  <c r="G17" i="46"/>
  <c r="D4"/>
  <c r="D6"/>
  <c r="D8"/>
  <c r="D10"/>
  <c r="D12"/>
  <c r="D14"/>
  <c r="D16"/>
  <c r="E4"/>
  <c r="E8"/>
  <c r="E14"/>
  <c r="E3"/>
  <c r="E5"/>
  <c r="E7"/>
  <c r="E9"/>
  <c r="E11"/>
  <c r="E13"/>
  <c r="E15"/>
  <c r="E17"/>
  <c r="F17" s="1"/>
  <c r="E6"/>
  <c r="E10"/>
  <c r="E12"/>
  <c r="D3"/>
  <c r="D5"/>
  <c r="D7"/>
  <c r="D9"/>
  <c r="D11"/>
  <c r="D13"/>
  <c r="D15"/>
  <c r="F7" i="44"/>
  <c r="F10"/>
  <c r="E7"/>
  <c r="E8"/>
  <c r="F11"/>
  <c r="E4"/>
  <c r="E12"/>
  <c r="G11"/>
  <c r="E5"/>
  <c r="F8"/>
  <c r="E13"/>
  <c r="F5"/>
  <c r="E10"/>
  <c r="F13"/>
  <c r="F4"/>
  <c r="G7"/>
  <c r="E9"/>
  <c r="F12"/>
  <c r="E6"/>
  <c r="F9"/>
  <c r="E14"/>
  <c r="F6"/>
  <c r="G6" i="43"/>
  <c r="G9"/>
  <c r="G14"/>
  <c r="H5"/>
  <c r="H15" s="1"/>
  <c r="G13"/>
  <c r="I15"/>
  <c r="G8"/>
  <c r="G11"/>
  <c r="G7"/>
  <c r="G4"/>
  <c r="G12"/>
  <c r="Q3" i="41"/>
  <c r="R2"/>
  <c r="S2"/>
  <c r="M8" i="40"/>
  <c r="M9" s="1"/>
  <c r="D8" i="39"/>
  <c r="N10" i="35"/>
  <c r="N11" s="1"/>
  <c r="N6" i="33"/>
  <c r="C7"/>
  <c r="C8" s="1"/>
  <c r="N8" s="1"/>
  <c r="M6" i="32"/>
  <c r="E6"/>
  <c r="C6"/>
  <c r="N5"/>
  <c r="G7"/>
  <c r="H7"/>
  <c r="I7"/>
  <c r="F7"/>
  <c r="E4" i="27"/>
  <c r="L7" i="32" l="1"/>
  <c r="L6"/>
  <c r="G4" i="44"/>
  <c r="D6" i="32"/>
  <c r="N6" s="1"/>
  <c r="D7"/>
  <c r="N7" s="1"/>
  <c r="N4" i="35"/>
  <c r="N5" s="1"/>
  <c r="K6" i="32"/>
  <c r="K7"/>
  <c r="G5" i="43"/>
  <c r="O4" i="35"/>
  <c r="O5" s="1"/>
  <c r="H8" i="5"/>
  <c r="O10" i="35"/>
  <c r="O11" s="1"/>
  <c r="E19" i="47"/>
  <c r="E18"/>
  <c r="G14" i="46"/>
  <c r="F14"/>
  <c r="G12"/>
  <c r="F12"/>
  <c r="F9"/>
  <c r="G9"/>
  <c r="F7"/>
  <c r="G7"/>
  <c r="G10"/>
  <c r="F10"/>
  <c r="F15"/>
  <c r="G15"/>
  <c r="F13"/>
  <c r="G13"/>
  <c r="F8"/>
  <c r="G8"/>
  <c r="F3"/>
  <c r="G3"/>
  <c r="F11"/>
  <c r="G11"/>
  <c r="G6"/>
  <c r="F6"/>
  <c r="G4"/>
  <c r="F4"/>
  <c r="F5"/>
  <c r="G5"/>
  <c r="G16"/>
  <c r="F16"/>
  <c r="G10" i="44"/>
  <c r="G6"/>
  <c r="G8"/>
  <c r="G13"/>
  <c r="G9"/>
  <c r="G14"/>
  <c r="G5"/>
  <c r="G12"/>
  <c r="G15" i="43"/>
  <c r="Q4" i="41"/>
  <c r="R3"/>
  <c r="S3" s="1"/>
  <c r="N7" i="33"/>
  <c r="F4" i="27"/>
  <c r="H9" i="5" l="1"/>
  <c r="G18" i="46"/>
  <c r="G19" s="1"/>
  <c r="F18"/>
  <c r="F19" s="1"/>
  <c r="G15" i="44"/>
  <c r="Q5" i="41"/>
  <c r="R4"/>
  <c r="G4" i="27"/>
  <c r="H10" i="5" l="1"/>
  <c r="R5" i="41"/>
  <c r="S5" s="1"/>
  <c r="Q6"/>
  <c r="S4"/>
  <c r="H4" i="27"/>
  <c r="H11" i="5" l="1"/>
  <c r="Q7" i="41"/>
  <c r="S6"/>
  <c r="R6"/>
  <c r="I4" i="27"/>
  <c r="H12" i="5" l="1"/>
  <c r="I11"/>
  <c r="R7" i="41"/>
  <c r="Q8"/>
  <c r="S7"/>
  <c r="J4" i="27"/>
  <c r="I12" i="5" l="1"/>
  <c r="I5"/>
  <c r="I6"/>
  <c r="I7"/>
  <c r="I8"/>
  <c r="I9"/>
  <c r="I10"/>
  <c r="Q9" i="41"/>
  <c r="R8"/>
  <c r="S8" s="1"/>
  <c r="K4" i="27"/>
  <c r="Q10" i="41" l="1"/>
  <c r="R9"/>
  <c r="S9" s="1"/>
  <c r="L4" i="27"/>
  <c r="Q11" i="41" l="1"/>
  <c r="R10"/>
  <c r="S10" s="1"/>
  <c r="M4" i="27"/>
  <c r="R11" i="41" l="1"/>
  <c r="T2" s="1" a="1"/>
  <c r="C5" i="27"/>
  <c r="M5"/>
  <c r="D5"/>
  <c r="E5"/>
  <c r="F5"/>
  <c r="G5"/>
  <c r="H5"/>
  <c r="I5"/>
  <c r="J5"/>
  <c r="K5"/>
  <c r="L5"/>
  <c r="T5" i="41" l="1"/>
  <c r="T4"/>
  <c r="T11"/>
  <c r="T3"/>
  <c r="T10"/>
  <c r="T2"/>
  <c r="T8"/>
  <c r="T9"/>
  <c r="T6"/>
  <c r="T7"/>
  <c r="S11"/>
  <c r="G7" i="23" l="1"/>
  <c r="F7"/>
  <c r="E7"/>
  <c r="D7"/>
  <c r="I6"/>
  <c r="G6"/>
  <c r="F6"/>
  <c r="E6"/>
  <c r="D6"/>
  <c r="I5"/>
  <c r="H5"/>
  <c r="I4"/>
  <c r="H4"/>
  <c r="E16" i="22"/>
  <c r="D16"/>
  <c r="C16"/>
  <c r="E15"/>
  <c r="D15"/>
  <c r="C15"/>
  <c r="E14"/>
  <c r="D14"/>
  <c r="C14"/>
  <c r="D8" i="21"/>
  <c r="C8"/>
  <c r="G29" i="23" l="1"/>
  <c r="G28"/>
  <c r="H6"/>
  <c r="D29"/>
  <c r="D28"/>
  <c r="E29"/>
  <c r="E28"/>
  <c r="F29"/>
  <c r="F28"/>
  <c r="D21"/>
  <c r="E21"/>
  <c r="F21"/>
  <c r="G21"/>
  <c r="E20"/>
  <c r="F20"/>
  <c r="D20"/>
  <c r="G20"/>
  <c r="E25"/>
  <c r="F25"/>
  <c r="G25"/>
  <c r="D25"/>
  <c r="E24"/>
  <c r="F24"/>
  <c r="D24"/>
  <c r="G24"/>
  <c r="D10" i="20"/>
  <c r="C10"/>
  <c r="E9"/>
  <c r="E8"/>
  <c r="G4"/>
  <c r="G3"/>
  <c r="N3" i="19"/>
  <c r="C32" i="17"/>
  <c r="C31"/>
  <c r="C28"/>
  <c r="F28"/>
  <c r="E28"/>
  <c r="D27"/>
  <c r="C30"/>
  <c r="O3" i="16"/>
  <c r="P3"/>
  <c r="D32" i="23" l="1"/>
  <c r="D16" s="1"/>
  <c r="F32"/>
  <c r="F16" s="1"/>
  <c r="G33"/>
  <c r="G17"/>
  <c r="F33"/>
  <c r="F17" s="1"/>
  <c r="E32"/>
  <c r="E16" s="1"/>
  <c r="E10" i="20"/>
  <c r="D14" s="1"/>
  <c r="D13"/>
  <c r="C13"/>
  <c r="C14"/>
  <c r="E33" i="23"/>
  <c r="E17"/>
  <c r="D17"/>
  <c r="D33"/>
  <c r="G32"/>
  <c r="G16" s="1"/>
  <c r="E27" i="17"/>
  <c r="D28"/>
  <c r="F27"/>
  <c r="C27"/>
  <c r="C29"/>
  <c r="D15" i="20" l="1"/>
  <c r="E14"/>
  <c r="C15"/>
  <c r="E13"/>
  <c r="E15" s="1"/>
  <c r="D18" i="10"/>
  <c r="C18"/>
  <c r="E14" i="7"/>
  <c r="D14"/>
  <c r="C14"/>
  <c r="N4" i="3"/>
</calcChain>
</file>

<file path=xl/sharedStrings.xml><?xml version="1.0" encoding="utf-8"?>
<sst xmlns="http://schemas.openxmlformats.org/spreadsheetml/2006/main" count="1369" uniqueCount="503">
  <si>
    <t>1次元データ</t>
    <rPh sb="1" eb="2">
      <t>ジ</t>
    </rPh>
    <rPh sb="2" eb="3">
      <t>ゲン</t>
    </rPh>
    <phoneticPr fontId="2"/>
  </si>
  <si>
    <t>国語の得点</t>
    <rPh sb="0" eb="2">
      <t>コクゴ</t>
    </rPh>
    <rPh sb="3" eb="5">
      <t>トクテン</t>
    </rPh>
    <phoneticPr fontId="2"/>
  </si>
  <si>
    <t>2次元データ</t>
    <rPh sb="1" eb="2">
      <t>ジ</t>
    </rPh>
    <rPh sb="2" eb="3">
      <t>ゲン</t>
    </rPh>
    <phoneticPr fontId="2"/>
  </si>
  <si>
    <t>英語の得点</t>
    <rPh sb="0" eb="2">
      <t>エイゴ</t>
    </rPh>
    <rPh sb="3" eb="5">
      <t>トクテン</t>
    </rPh>
    <phoneticPr fontId="2"/>
  </si>
  <si>
    <t>3次元データ</t>
    <rPh sb="1" eb="3">
      <t>ジゲン</t>
    </rPh>
    <phoneticPr fontId="2"/>
  </si>
  <si>
    <t>数学の得点</t>
    <rPh sb="0" eb="2">
      <t>スウガク</t>
    </rPh>
    <rPh sb="3" eb="5">
      <t>トクテン</t>
    </rPh>
    <phoneticPr fontId="2"/>
  </si>
  <si>
    <t>単位：円</t>
    <rPh sb="0" eb="2">
      <t>タンイ</t>
    </rPh>
    <rPh sb="3" eb="4">
      <t>エン</t>
    </rPh>
    <phoneticPr fontId="2"/>
  </si>
  <si>
    <t>パネルデータ</t>
    <phoneticPr fontId="2"/>
  </si>
  <si>
    <t>昭和 20年</t>
  </si>
  <si>
    <t>29年</t>
  </si>
  <si>
    <t>37年</t>
  </si>
  <si>
    <t>49年</t>
  </si>
  <si>
    <t>53年</t>
  </si>
  <si>
    <t>55年</t>
  </si>
  <si>
    <t>平成  元年</t>
  </si>
  <si>
    <t>8年</t>
  </si>
  <si>
    <t>15年</t>
  </si>
  <si>
    <t>ﾋﾞｰﾙ大瓶1本</t>
  </si>
  <si>
    <t>ｺｰﾋｰ1杯</t>
    <phoneticPr fontId="2"/>
  </si>
  <si>
    <t>はがき代</t>
    <phoneticPr fontId="2"/>
  </si>
  <si>
    <t>クロスセッションデータ</t>
    <phoneticPr fontId="2"/>
  </si>
  <si>
    <t>ｺｰﾋｰ1杯</t>
  </si>
  <si>
    <t>はがき代</t>
  </si>
  <si>
    <t>理髪料</t>
  </si>
  <si>
    <t>鶏卵(1個)</t>
    <rPh sb="0" eb="1">
      <t>トリ</t>
    </rPh>
    <rPh sb="1" eb="2">
      <t>タマゴ</t>
    </rPh>
    <rPh sb="4" eb="5">
      <t>コ</t>
    </rPh>
    <phoneticPr fontId="3"/>
  </si>
  <si>
    <t>JR最低乗車料</t>
  </si>
  <si>
    <t>平成  15年</t>
    <phoneticPr fontId="3"/>
  </si>
  <si>
    <t>①靴のサイズ(cm)</t>
    <rPh sb="1" eb="2">
      <t>クツ</t>
    </rPh>
    <phoneticPr fontId="2"/>
  </si>
  <si>
    <t>合計</t>
    <rPh sb="0" eb="2">
      <t>ゴウケイ</t>
    </rPh>
    <phoneticPr fontId="2"/>
  </si>
  <si>
    <t>②人数</t>
    <rPh sb="1" eb="3">
      <t>ニンズウ</t>
    </rPh>
    <phoneticPr fontId="2"/>
  </si>
  <si>
    <t>ハンドバッグ</t>
    <phoneticPr fontId="2"/>
  </si>
  <si>
    <t>ブラウス</t>
    <phoneticPr fontId="2"/>
  </si>
  <si>
    <t>スーツ</t>
    <phoneticPr fontId="2"/>
  </si>
  <si>
    <t>高いと感じる値段</t>
  </si>
  <si>
    <t>安いと感じる値段</t>
  </si>
  <si>
    <t>出してもいい値段</t>
  </si>
  <si>
    <t>売り場</t>
  </si>
  <si>
    <t>忘れ物</t>
  </si>
  <si>
    <t>件数</t>
  </si>
  <si>
    <t>食品</t>
  </si>
  <si>
    <t>化粧品</t>
  </si>
  <si>
    <t>下着類</t>
  </si>
  <si>
    <t>洋服</t>
  </si>
  <si>
    <t>おもちゃ</t>
  </si>
  <si>
    <t>食器</t>
  </si>
  <si>
    <t>家具</t>
  </si>
  <si>
    <t>文具</t>
  </si>
  <si>
    <t>書籍</t>
  </si>
  <si>
    <t>食堂</t>
  </si>
  <si>
    <t>合計</t>
  </si>
  <si>
    <t>国語</t>
  </si>
  <si>
    <t>英語</t>
  </si>
  <si>
    <t>数学</t>
  </si>
  <si>
    <t>平均</t>
    <rPh sb="0" eb="2">
      <t>ヘイキン</t>
    </rPh>
    <phoneticPr fontId="2"/>
  </si>
  <si>
    <t>産業大分類</t>
    <rPh sb="0" eb="2">
      <t>サンギョウ</t>
    </rPh>
    <rPh sb="2" eb="5">
      <t>ダイブンルイ</t>
    </rPh>
    <phoneticPr fontId="2"/>
  </si>
  <si>
    <t>企業等数</t>
  </si>
  <si>
    <t>売上（収入）金額(百万円)</t>
    <phoneticPr fontId="2"/>
  </si>
  <si>
    <t>付加価値額(百万円)</t>
  </si>
  <si>
    <t>　　A～B 農林漁業</t>
    <phoneticPr fontId="2"/>
  </si>
  <si>
    <t>　　C 鉱業，採石業，砂利採取業</t>
  </si>
  <si>
    <t>　　D 建設業</t>
  </si>
  <si>
    <t>　　E 製造業</t>
    <phoneticPr fontId="2"/>
  </si>
  <si>
    <t>　　F 電気・ガス・熱供給・水道業</t>
  </si>
  <si>
    <t>　　G 情報通信業</t>
  </si>
  <si>
    <t>　　H 運輸業，郵便業</t>
  </si>
  <si>
    <t>　　I 卸売業，小売業</t>
  </si>
  <si>
    <t>　　J 金融業，保険業</t>
  </si>
  <si>
    <t>　　K 不動産業，物品賃貸業</t>
  </si>
  <si>
    <t>　　L 学術研究，専門・技術サービス業</t>
  </si>
  <si>
    <t>　　M 宿泊業，飲食サービス業</t>
  </si>
  <si>
    <t>　　N 生活関連サービス業，娯楽業</t>
  </si>
  <si>
    <t>　　O 教育，学習支援業</t>
  </si>
  <si>
    <t>　　P 医療，福祉</t>
  </si>
  <si>
    <t>　　Q 複合サービス事業</t>
  </si>
  <si>
    <t>　　R サービス業（他に分類されないもの）</t>
  </si>
  <si>
    <t>ﾋﾞｰﾙ大瓶1本</t>
    <phoneticPr fontId="3"/>
  </si>
  <si>
    <t>JR最低乗車料</t>
    <phoneticPr fontId="3"/>
  </si>
  <si>
    <t>昭和 20年</t>
    <phoneticPr fontId="3"/>
  </si>
  <si>
    <t>平成  元年</t>
    <phoneticPr fontId="3"/>
  </si>
  <si>
    <t>体重(kg)</t>
  </si>
  <si>
    <t>身長(cm)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</si>
  <si>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</si>
  <si>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</si>
  <si>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</si>
  <si>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</si>
  <si>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</si>
  <si>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</si>
  <si>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</si>
  <si>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</si>
  <si>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</si>
  <si>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</si>
  <si>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</si>
  <si>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</si>
  <si>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</si>
  <si>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</si>
  <si>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</si>
  <si>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都道府県</t>
    <rPh sb="0" eb="4">
      <t>トドウフケン</t>
    </rPh>
    <phoneticPr fontId="3"/>
  </si>
  <si>
    <t>15才～74才人口（千人）</t>
    <rPh sb="2" eb="3">
      <t>サイ</t>
    </rPh>
    <rPh sb="6" eb="7">
      <t>サイ</t>
    </rPh>
    <rPh sb="7" eb="9">
      <t>ジンコウ</t>
    </rPh>
    <rPh sb="10" eb="12">
      <t>センニン</t>
    </rPh>
    <phoneticPr fontId="3"/>
  </si>
  <si>
    <t>乗用車台数（千台）</t>
    <rPh sb="0" eb="3">
      <t>ジョウヨウシャ</t>
    </rPh>
    <rPh sb="3" eb="4">
      <t>ダイ</t>
    </rPh>
    <rPh sb="4" eb="5">
      <t>スウ</t>
    </rPh>
    <rPh sb="6" eb="8">
      <t>センダイ</t>
    </rPh>
    <phoneticPr fontId="3"/>
  </si>
  <si>
    <t>北海道</t>
    <phoneticPr fontId="3"/>
  </si>
  <si>
    <t>滋賀県</t>
    <phoneticPr fontId="3"/>
  </si>
  <si>
    <t>青森県</t>
    <phoneticPr fontId="3"/>
  </si>
  <si>
    <t>京都府</t>
    <phoneticPr fontId="3"/>
  </si>
  <si>
    <t>岩手県</t>
    <phoneticPr fontId="3"/>
  </si>
  <si>
    <t>大阪府</t>
    <phoneticPr fontId="3"/>
  </si>
  <si>
    <t>宮城県</t>
    <phoneticPr fontId="3"/>
  </si>
  <si>
    <t>兵庫県</t>
    <phoneticPr fontId="3"/>
  </si>
  <si>
    <t>秋田県</t>
    <phoneticPr fontId="3"/>
  </si>
  <si>
    <t>奈良県</t>
    <phoneticPr fontId="3"/>
  </si>
  <si>
    <t>山形県</t>
    <phoneticPr fontId="3"/>
  </si>
  <si>
    <t>和歌山県</t>
    <phoneticPr fontId="3"/>
  </si>
  <si>
    <t>福島県</t>
    <phoneticPr fontId="3"/>
  </si>
  <si>
    <t>鳥取県</t>
    <phoneticPr fontId="3"/>
  </si>
  <si>
    <t>茨城県</t>
    <phoneticPr fontId="3"/>
  </si>
  <si>
    <t>島根県</t>
    <phoneticPr fontId="3"/>
  </si>
  <si>
    <t>栃木県</t>
    <phoneticPr fontId="3"/>
  </si>
  <si>
    <t>岡山県</t>
    <phoneticPr fontId="3"/>
  </si>
  <si>
    <t>群馬県</t>
    <phoneticPr fontId="3"/>
  </si>
  <si>
    <t>広島県</t>
    <phoneticPr fontId="3"/>
  </si>
  <si>
    <t>埼玉県</t>
    <phoneticPr fontId="3"/>
  </si>
  <si>
    <t>山口県</t>
    <phoneticPr fontId="3"/>
  </si>
  <si>
    <t>千葉県</t>
    <phoneticPr fontId="3"/>
  </si>
  <si>
    <t>徳島県</t>
    <phoneticPr fontId="3"/>
  </si>
  <si>
    <t>東京都</t>
    <phoneticPr fontId="3"/>
  </si>
  <si>
    <t>香川県</t>
    <phoneticPr fontId="3"/>
  </si>
  <si>
    <t>神奈川県</t>
    <phoneticPr fontId="3"/>
  </si>
  <si>
    <t>愛媛県</t>
    <phoneticPr fontId="3"/>
  </si>
  <si>
    <t>新潟県</t>
    <phoneticPr fontId="3"/>
  </si>
  <si>
    <t>高知県</t>
    <phoneticPr fontId="3"/>
  </si>
  <si>
    <t>富山県</t>
    <phoneticPr fontId="3"/>
  </si>
  <si>
    <t>福岡県</t>
    <phoneticPr fontId="3"/>
  </si>
  <si>
    <t>石川県</t>
    <phoneticPr fontId="3"/>
  </si>
  <si>
    <t>佐賀県</t>
    <phoneticPr fontId="3"/>
  </si>
  <si>
    <t>福井県</t>
    <phoneticPr fontId="3"/>
  </si>
  <si>
    <t>長崎県</t>
    <phoneticPr fontId="3"/>
  </si>
  <si>
    <t>山梨県</t>
    <phoneticPr fontId="3"/>
  </si>
  <si>
    <t>熊本県</t>
    <phoneticPr fontId="3"/>
  </si>
  <si>
    <t>長野県</t>
    <phoneticPr fontId="3"/>
  </si>
  <si>
    <t>大分県</t>
    <phoneticPr fontId="3"/>
  </si>
  <si>
    <t>岐阜県</t>
    <phoneticPr fontId="3"/>
  </si>
  <si>
    <t>宮崎県</t>
    <phoneticPr fontId="3"/>
  </si>
  <si>
    <t>静岡県</t>
    <phoneticPr fontId="3"/>
  </si>
  <si>
    <t>鹿児島県</t>
    <phoneticPr fontId="3"/>
  </si>
  <si>
    <t>愛知県</t>
    <phoneticPr fontId="3"/>
  </si>
  <si>
    <t>沖縄県</t>
    <phoneticPr fontId="3"/>
  </si>
  <si>
    <t>三重県</t>
    <phoneticPr fontId="3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</si>
  <si>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</si>
  <si>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</si>
  <si>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1次産業人口（千人）</t>
    <rPh sb="1" eb="2">
      <t>ジ</t>
    </rPh>
    <rPh sb="2" eb="4">
      <t>サンギョウ</t>
    </rPh>
    <rPh sb="4" eb="6">
      <t>ジンコウ</t>
    </rPh>
    <rPh sb="7" eb="9">
      <t>センニン</t>
    </rPh>
    <phoneticPr fontId="3"/>
  </si>
  <si>
    <t>2次産業人口（千人）</t>
    <rPh sb="1" eb="2">
      <t>ジ</t>
    </rPh>
    <rPh sb="2" eb="4">
      <t>サンギョウ</t>
    </rPh>
    <rPh sb="4" eb="6">
      <t>ジンコウ</t>
    </rPh>
    <rPh sb="7" eb="9">
      <t>センニン</t>
    </rPh>
    <phoneticPr fontId="3"/>
  </si>
  <si>
    <t>3次産業人口（千人）</t>
    <rPh sb="1" eb="2">
      <t>ジ</t>
    </rPh>
    <rPh sb="2" eb="4">
      <t>サンギョウ</t>
    </rPh>
    <rPh sb="4" eb="6">
      <t>ジンコウ</t>
    </rPh>
    <rPh sb="7" eb="9">
      <t>センニン</t>
    </rPh>
    <phoneticPr fontId="3"/>
  </si>
  <si>
    <t>Ｘ１</t>
    <phoneticPr fontId="2"/>
  </si>
  <si>
    <t>Ｘ２</t>
    <phoneticPr fontId="2"/>
  </si>
  <si>
    <t>Ｘ３</t>
    <phoneticPr fontId="2"/>
  </si>
  <si>
    <t>ｙ</t>
    <phoneticPr fontId="2"/>
  </si>
  <si>
    <t>分散</t>
    <rPh sb="0" eb="2">
      <t>ブンサン</t>
    </rPh>
    <phoneticPr fontId="2"/>
  </si>
  <si>
    <t>平均</t>
  </si>
  <si>
    <t>No.</t>
    <phoneticPr fontId="14"/>
  </si>
  <si>
    <t>品番</t>
    <rPh sb="0" eb="2">
      <t>ヒンバン</t>
    </rPh>
    <phoneticPr fontId="14"/>
  </si>
  <si>
    <t>購入価格(円)</t>
    <rPh sb="0" eb="2">
      <t>コウニュウ</t>
    </rPh>
    <rPh sb="5" eb="6">
      <t>エン</t>
    </rPh>
    <phoneticPr fontId="14"/>
  </si>
  <si>
    <t>有効画素数         (万画素)</t>
    <rPh sb="0" eb="2">
      <t>ユウコウ</t>
    </rPh>
    <rPh sb="2" eb="5">
      <t>ガソスウ</t>
    </rPh>
    <rPh sb="15" eb="16">
      <t>マン</t>
    </rPh>
    <rPh sb="16" eb="17">
      <t>ガ</t>
    </rPh>
    <rPh sb="17" eb="18">
      <t>ソ</t>
    </rPh>
    <phoneticPr fontId="14"/>
  </si>
  <si>
    <r>
      <t>光学ズーム(倍</t>
    </r>
    <r>
      <rPr>
        <sz val="11"/>
        <color theme="1"/>
        <rFont val="ＭＳ Ｐゴシック"/>
        <family val="2"/>
        <charset val="128"/>
      </rPr>
      <t>)</t>
    </r>
    <rPh sb="0" eb="2">
      <t>コウガク</t>
    </rPh>
    <rPh sb="6" eb="7">
      <t>バイ</t>
    </rPh>
    <phoneticPr fontId="14"/>
  </si>
  <si>
    <r>
      <t>内蔵メモリ(メガバイト</t>
    </r>
    <r>
      <rPr>
        <sz val="11"/>
        <color theme="1"/>
        <rFont val="ＭＳ Ｐゴシック"/>
        <family val="2"/>
        <charset val="128"/>
      </rPr>
      <t>)</t>
    </r>
    <rPh sb="0" eb="2">
      <t>ナイゾウ</t>
    </rPh>
    <phoneticPr fontId="14"/>
  </si>
  <si>
    <t>Ｙ</t>
    <phoneticPr fontId="14"/>
  </si>
  <si>
    <t>Ｘ１</t>
    <phoneticPr fontId="14"/>
  </si>
  <si>
    <t>Ｘ２</t>
    <phoneticPr fontId="14"/>
  </si>
  <si>
    <t>Ｘ３</t>
    <phoneticPr fontId="14"/>
  </si>
  <si>
    <t>A</t>
    <phoneticPr fontId="14"/>
  </si>
  <si>
    <t>B</t>
    <phoneticPr fontId="14"/>
  </si>
  <si>
    <t>C</t>
    <phoneticPr fontId="14"/>
  </si>
  <si>
    <t>D</t>
    <phoneticPr fontId="14"/>
  </si>
  <si>
    <t>E</t>
    <phoneticPr fontId="14"/>
  </si>
  <si>
    <t>F</t>
    <phoneticPr fontId="14"/>
  </si>
  <si>
    <t>G</t>
    <phoneticPr fontId="14"/>
  </si>
  <si>
    <t>H</t>
    <phoneticPr fontId="14"/>
  </si>
  <si>
    <t>I</t>
    <phoneticPr fontId="14"/>
  </si>
  <si>
    <t>J</t>
    <phoneticPr fontId="14"/>
  </si>
  <si>
    <t>K</t>
    <phoneticPr fontId="14"/>
  </si>
  <si>
    <t>L</t>
    <phoneticPr fontId="14"/>
  </si>
  <si>
    <t>M</t>
    <phoneticPr fontId="14"/>
  </si>
  <si>
    <t>N</t>
    <phoneticPr fontId="14"/>
  </si>
  <si>
    <t>4月</t>
  </si>
  <si>
    <t>5月</t>
  </si>
  <si>
    <t>6月</t>
  </si>
  <si>
    <t>実績値</t>
  </si>
  <si>
    <t>7月</t>
  </si>
  <si>
    <t>実績値</t>
    <rPh sb="0" eb="3">
      <t>ジッセキチ</t>
    </rPh>
    <phoneticPr fontId="2"/>
  </si>
  <si>
    <t>予測値</t>
    <rPh sb="0" eb="3">
      <t>ヨソクチ</t>
    </rPh>
    <phoneticPr fontId="2"/>
  </si>
  <si>
    <t>α=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</si>
  <si>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</si>
  <si>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</si>
  <si>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8月</t>
  </si>
  <si>
    <t>No.</t>
    <phoneticPr fontId="2"/>
  </si>
  <si>
    <t>y</t>
    <phoneticPr fontId="2"/>
  </si>
  <si>
    <t>x1</t>
    <phoneticPr fontId="2"/>
  </si>
  <si>
    <t>x2</t>
    <phoneticPr fontId="2"/>
  </si>
  <si>
    <t>x3</t>
    <phoneticPr fontId="2"/>
  </si>
  <si>
    <t>販売実績</t>
    <rPh sb="0" eb="2">
      <t>ハンバイ</t>
    </rPh>
    <rPh sb="2" eb="4">
      <t>ジッセキ</t>
    </rPh>
    <phoneticPr fontId="2"/>
  </si>
  <si>
    <t>前年数量</t>
    <rPh sb="0" eb="2">
      <t>ゼンネン</t>
    </rPh>
    <rPh sb="2" eb="4">
      <t>スウリョウ</t>
    </rPh>
    <phoneticPr fontId="14"/>
  </si>
  <si>
    <t>季節指数</t>
    <rPh sb="0" eb="2">
      <t>キセツ</t>
    </rPh>
    <rPh sb="2" eb="4">
      <t>シスウ</t>
    </rPh>
    <phoneticPr fontId="14"/>
  </si>
  <si>
    <t>株価</t>
    <rPh sb="0" eb="2">
      <t>カブカ</t>
    </rPh>
    <phoneticPr fontId="14"/>
  </si>
  <si>
    <t>品目Ｘの需要予測</t>
    <rPh sb="0" eb="2">
      <t>ヒンモク</t>
    </rPh>
    <rPh sb="4" eb="6">
      <t>ジュヨウ</t>
    </rPh>
    <rPh sb="6" eb="8">
      <t>ヨソク</t>
    </rPh>
    <phoneticPr fontId="2"/>
  </si>
  <si>
    <t>1月</t>
  </si>
  <si>
    <t>2月</t>
  </si>
  <si>
    <t>3月</t>
  </si>
  <si>
    <t>9月</t>
  </si>
  <si>
    <t>10月</t>
  </si>
  <si>
    <t>11月</t>
  </si>
  <si>
    <t>12月</t>
  </si>
  <si>
    <t>標準偏差</t>
    <rPh sb="0" eb="2">
      <t>ヒョウジュン</t>
    </rPh>
    <rPh sb="2" eb="4">
      <t>ヘンサ</t>
    </rPh>
    <phoneticPr fontId="2"/>
  </si>
  <si>
    <t>時刻</t>
    <rPh sb="0" eb="2">
      <t>ジコク</t>
    </rPh>
    <phoneticPr fontId="2"/>
  </si>
  <si>
    <t>x月16日</t>
    <rPh sb="1" eb="2">
      <t>ツキ</t>
    </rPh>
    <rPh sb="4" eb="5">
      <t>ニチ</t>
    </rPh>
    <phoneticPr fontId="2"/>
  </si>
  <si>
    <t>x月17日</t>
    <rPh sb="1" eb="2">
      <t>ツキ</t>
    </rPh>
    <rPh sb="4" eb="5">
      <t>ニチ</t>
    </rPh>
    <phoneticPr fontId="2"/>
  </si>
  <si>
    <t>x月18日</t>
    <rPh sb="1" eb="2">
      <t>ツキ</t>
    </rPh>
    <rPh sb="4" eb="5">
      <t>ニチ</t>
    </rPh>
    <phoneticPr fontId="2"/>
  </si>
  <si>
    <t>x月19日</t>
    <rPh sb="1" eb="2">
      <t>ツキ</t>
    </rPh>
    <rPh sb="4" eb="5">
      <t>ニチ</t>
    </rPh>
    <phoneticPr fontId="2"/>
  </si>
  <si>
    <t>全体平均</t>
    <rPh sb="0" eb="2">
      <t>ゼンタイ</t>
    </rPh>
    <rPh sb="2" eb="4">
      <t>ヘイキン</t>
    </rPh>
    <phoneticPr fontId="2"/>
  </si>
  <si>
    <t>全体標準偏差</t>
    <rPh sb="0" eb="2">
      <t>ゼンタイ</t>
    </rPh>
    <rPh sb="2" eb="4">
      <t>ヒョウジュン</t>
    </rPh>
    <rPh sb="4" eb="6">
      <t>ヘンサ</t>
    </rPh>
    <phoneticPr fontId="2"/>
  </si>
  <si>
    <t>中央値</t>
    <rPh sb="0" eb="3">
      <t>チュウオウチ</t>
    </rPh>
    <phoneticPr fontId="2"/>
  </si>
  <si>
    <t>最頻値</t>
    <rPh sb="0" eb="3">
      <t>サイヒンチ</t>
    </rPh>
    <phoneticPr fontId="2"/>
  </si>
  <si>
    <t>設備Ｘ</t>
    <rPh sb="0" eb="2">
      <t>セツビ</t>
    </rPh>
    <phoneticPr fontId="1"/>
  </si>
  <si>
    <t>設備Ｘ</t>
    <rPh sb="0" eb="2">
      <t>セツビ</t>
    </rPh>
    <phoneticPr fontId="2"/>
  </si>
  <si>
    <t>Ａ型</t>
    <rPh sb="1" eb="2">
      <t>ガタ</t>
    </rPh>
    <phoneticPr fontId="2"/>
  </si>
  <si>
    <t>Ｏ型</t>
    <rPh sb="1" eb="2">
      <t>ガタ</t>
    </rPh>
    <phoneticPr fontId="2"/>
  </si>
  <si>
    <t>Ｂ型</t>
    <rPh sb="1" eb="2">
      <t>ガタ</t>
    </rPh>
    <phoneticPr fontId="2"/>
  </si>
  <si>
    <t>ＡＢ型</t>
    <rPh sb="2" eb="3">
      <t>ガタ</t>
    </rPh>
    <phoneticPr fontId="2"/>
  </si>
  <si>
    <t>計</t>
    <rPh sb="0" eb="1">
      <t>ケイ</t>
    </rPh>
    <phoneticPr fontId="2"/>
  </si>
  <si>
    <t>実測値(度数)</t>
    <rPh sb="0" eb="3">
      <t>ジッソクチ</t>
    </rPh>
    <rPh sb="4" eb="6">
      <t>ドスウ</t>
    </rPh>
    <phoneticPr fontId="2"/>
  </si>
  <si>
    <t>期待値（度数）</t>
    <rPh sb="0" eb="2">
      <t>キタイ</t>
    </rPh>
    <rPh sb="2" eb="3">
      <t>アタイ</t>
    </rPh>
    <rPh sb="4" eb="6">
      <t>ドスウ</t>
    </rPh>
    <phoneticPr fontId="2"/>
  </si>
  <si>
    <t>適合品</t>
    <rPh sb="0" eb="2">
      <t>テキゴウ</t>
    </rPh>
    <rPh sb="2" eb="3">
      <t>ヒン</t>
    </rPh>
    <phoneticPr fontId="2"/>
  </si>
  <si>
    <t>不適合品</t>
    <rPh sb="0" eb="3">
      <t>フテキゴウ</t>
    </rPh>
    <rPh sb="3" eb="4">
      <t>ヒン</t>
    </rPh>
    <phoneticPr fontId="2"/>
  </si>
  <si>
    <t>合計</t>
    <rPh sb="0" eb="2">
      <t>ゴウケイ</t>
    </rPh>
    <phoneticPr fontId="1"/>
  </si>
  <si>
    <t>設備Ｙ</t>
    <rPh sb="0" eb="2">
      <t>セツビ</t>
    </rPh>
    <phoneticPr fontId="1"/>
  </si>
  <si>
    <t>設備Ｙ</t>
    <rPh sb="0" eb="2">
      <t>セツビ</t>
    </rPh>
    <phoneticPr fontId="2"/>
  </si>
  <si>
    <t>A社</t>
  </si>
  <si>
    <t>Ｂ社</t>
    <phoneticPr fontId="2"/>
  </si>
  <si>
    <t>単位：mm</t>
    <rPh sb="0" eb="2">
      <t>タンイ</t>
    </rPh>
    <phoneticPr fontId="2"/>
  </si>
  <si>
    <t>設備Ｚ</t>
    <rPh sb="0" eb="2">
      <t>セツビ</t>
    </rPh>
    <phoneticPr fontId="1"/>
  </si>
  <si>
    <t>-</t>
  </si>
  <si>
    <t>-</t>
    <phoneticPr fontId="2"/>
  </si>
  <si>
    <t>データ数</t>
    <rPh sb="3" eb="4">
      <t>スウ</t>
    </rPh>
    <phoneticPr fontId="1"/>
  </si>
  <si>
    <t>単位：売上伸び率（現状を100）</t>
    <rPh sb="0" eb="2">
      <t>タンイ</t>
    </rPh>
    <rPh sb="3" eb="5">
      <t>ウリアゲ</t>
    </rPh>
    <rPh sb="5" eb="6">
      <t>ノ</t>
    </rPh>
    <rPh sb="7" eb="8">
      <t>リツ</t>
    </rPh>
    <rPh sb="9" eb="11">
      <t>ゲンジョウ</t>
    </rPh>
    <phoneticPr fontId="2"/>
  </si>
  <si>
    <t>Ａ店</t>
    <rPh sb="1" eb="2">
      <t>テン</t>
    </rPh>
    <phoneticPr fontId="2"/>
  </si>
  <si>
    <t>Ｂ店</t>
    <rPh sb="1" eb="2">
      <t>テン</t>
    </rPh>
    <phoneticPr fontId="2"/>
  </si>
  <si>
    <t>Ｃ店</t>
    <rPh sb="1" eb="2">
      <t>テン</t>
    </rPh>
    <phoneticPr fontId="2"/>
  </si>
  <si>
    <t>Ｄ店</t>
    <rPh sb="1" eb="2">
      <t>テン</t>
    </rPh>
    <phoneticPr fontId="2"/>
  </si>
  <si>
    <t>宅配サービス</t>
    <rPh sb="0" eb="2">
      <t>タクハイ</t>
    </rPh>
    <phoneticPr fontId="2"/>
  </si>
  <si>
    <t>割引チラシ</t>
    <rPh sb="0" eb="2">
      <t>ワリビキ</t>
    </rPh>
    <phoneticPr fontId="2"/>
  </si>
  <si>
    <t>No.</t>
  </si>
  <si>
    <t>宅配ｻｰﾋﾞｽ</t>
  </si>
  <si>
    <t>1､2交互</t>
  </si>
  <si>
    <t>振込ｻｰﾋﾞｽ</t>
  </si>
  <si>
    <t>1､4交互</t>
  </si>
  <si>
    <t>2､4交互</t>
  </si>
  <si>
    <t>写真現像</t>
  </si>
  <si>
    <t>無し</t>
  </si>
  <si>
    <t>有り</t>
  </si>
  <si>
    <t>ｷﾞﾝｻﾞ店</t>
  </si>
  <si>
    <t>ｱｶｻｶ店</t>
  </si>
  <si>
    <t>ｼﾝﾊﾞｼ店</t>
  </si>
  <si>
    <t>ｵﾀﾞｲﾊﾞ店</t>
  </si>
  <si>
    <t>ｼﾝｼﾞｭｸ店</t>
  </si>
  <si>
    <t>ﾊﾗｼﾞｭｸ店</t>
  </si>
  <si>
    <t>ｼﾌﾞﾔ店</t>
  </si>
  <si>
    <t>ﾛｯﾎﾟﾝｷﾞ店</t>
  </si>
  <si>
    <t>店舗</t>
  </si>
  <si>
    <t>収益の伸び率</t>
  </si>
  <si>
    <t>割引ﾁﾗｼ</t>
    <phoneticPr fontId="2"/>
  </si>
  <si>
    <t>不良数</t>
    <rPh sb="0" eb="2">
      <t>フリョウ</t>
    </rPh>
    <rPh sb="2" eb="3">
      <t>スウ</t>
    </rPh>
    <phoneticPr fontId="14"/>
  </si>
  <si>
    <t>Ｎｏ</t>
    <phoneticPr fontId="14"/>
  </si>
  <si>
    <t>N1</t>
    <phoneticPr fontId="14"/>
  </si>
  <si>
    <t>Ａ</t>
  </si>
  <si>
    <t>Ｂ</t>
  </si>
  <si>
    <t>Ｃ</t>
  </si>
  <si>
    <t>Ｄ</t>
  </si>
  <si>
    <t>Ｅ</t>
  </si>
  <si>
    <t>Ｆ</t>
    <phoneticPr fontId="14"/>
  </si>
  <si>
    <t>Ｇ</t>
    <phoneticPr fontId="14"/>
  </si>
  <si>
    <t>目標値との偏差</t>
    <rPh sb="0" eb="3">
      <t>モクヒョウチ</t>
    </rPh>
    <rPh sb="5" eb="7">
      <t>ヘンサ</t>
    </rPh>
    <phoneticPr fontId="2"/>
  </si>
  <si>
    <t>③＝①×②</t>
  </si>
  <si>
    <t>③累計人数</t>
    <rPh sb="1" eb="3">
      <t>ルイケイ</t>
    </rPh>
    <rPh sb="3" eb="5">
      <t>ニンズウ</t>
    </rPh>
    <phoneticPr fontId="2"/>
  </si>
  <si>
    <t>④累計人数比率</t>
    <rPh sb="1" eb="3">
      <t>ルイケイ</t>
    </rPh>
    <rPh sb="3" eb="5">
      <t>ニンズウ</t>
    </rPh>
    <rPh sb="5" eb="7">
      <t>ヒリツ</t>
    </rPh>
    <phoneticPr fontId="2"/>
  </si>
  <si>
    <t>合計</t>
    <rPh sb="0" eb="2">
      <t>ゴウケイ</t>
    </rPh>
    <phoneticPr fontId="3"/>
  </si>
  <si>
    <t>平均値</t>
    <rPh sb="0" eb="3">
      <t>ヘイキンチ</t>
    </rPh>
    <phoneticPr fontId="2"/>
  </si>
  <si>
    <t>相乗平均値</t>
    <rPh sb="0" eb="2">
      <t>ソウジョウ</t>
    </rPh>
    <rPh sb="2" eb="4">
      <t>ヘイキン</t>
    </rPh>
    <rPh sb="4" eb="5">
      <t>アタイ</t>
    </rPh>
    <phoneticPr fontId="2"/>
  </si>
  <si>
    <t>調和平均値</t>
    <rPh sb="0" eb="2">
      <t>チョウワ</t>
    </rPh>
    <rPh sb="2" eb="4">
      <t>ヘイキン</t>
    </rPh>
    <rPh sb="4" eb="5">
      <t>アタイ</t>
    </rPh>
    <phoneticPr fontId="2"/>
  </si>
  <si>
    <t>第1四分位数</t>
    <phoneticPr fontId="2"/>
  </si>
  <si>
    <t>第2四分位数</t>
    <phoneticPr fontId="2"/>
  </si>
  <si>
    <t>第3四分位数</t>
    <phoneticPr fontId="2"/>
  </si>
  <si>
    <t>得点の低い順</t>
    <rPh sb="0" eb="2">
      <t>トクテン</t>
    </rPh>
    <rPh sb="3" eb="4">
      <t>ヒク</t>
    </rPh>
    <rPh sb="5" eb="6">
      <t>ジュン</t>
    </rPh>
    <phoneticPr fontId="2"/>
  </si>
  <si>
    <t>偏差(得点－平均値)</t>
    <rPh sb="0" eb="2">
      <t>ヘンサ</t>
    </rPh>
    <rPh sb="3" eb="5">
      <t>トクテン</t>
    </rPh>
    <rPh sb="6" eb="9">
      <t>ヘイキンチ</t>
    </rPh>
    <phoneticPr fontId="2"/>
  </si>
  <si>
    <t>偏差の絶対値</t>
    <rPh sb="0" eb="2">
      <t>ヘンサ</t>
    </rPh>
    <rPh sb="3" eb="6">
      <t>ゼッタイチ</t>
    </rPh>
    <phoneticPr fontId="2"/>
  </si>
  <si>
    <t>変動(偏差×偏差)</t>
    <rPh sb="0" eb="2">
      <t>ヘンドウ</t>
    </rPh>
    <rPh sb="3" eb="5">
      <t>ヘンサ</t>
    </rPh>
    <rPh sb="6" eb="8">
      <t>ヘンサ</t>
    </rPh>
    <phoneticPr fontId="2"/>
  </si>
  <si>
    <t>③＝①×②</t>
    <phoneticPr fontId="2"/>
  </si>
  <si>
    <t>④偏差=①-23.5</t>
    <rPh sb="1" eb="3">
      <t>ヘンサ</t>
    </rPh>
    <phoneticPr fontId="2"/>
  </si>
  <si>
    <t>⑤変動=④×④</t>
    <rPh sb="1" eb="3">
      <t>ヘンドウ</t>
    </rPh>
    <phoneticPr fontId="2"/>
  </si>
  <si>
    <t>⑥=②×⑤</t>
    <phoneticPr fontId="2"/>
  </si>
  <si>
    <t>平均点</t>
    <rPh sb="0" eb="3">
      <t>ヘイキンテン</t>
    </rPh>
    <phoneticPr fontId="2"/>
  </si>
  <si>
    <t>標準偏差(ｓ)</t>
    <rPh sb="0" eb="2">
      <t>ヒョウジュン</t>
    </rPh>
    <rPh sb="2" eb="4">
      <t>ヘンサ</t>
    </rPh>
    <phoneticPr fontId="2"/>
  </si>
  <si>
    <t>数学の基準化データ</t>
    <rPh sb="0" eb="2">
      <t>スウガク</t>
    </rPh>
    <rPh sb="3" eb="6">
      <t>キジュンカ</t>
    </rPh>
    <phoneticPr fontId="2"/>
  </si>
  <si>
    <t>①数学の得点</t>
    <rPh sb="1" eb="3">
      <t>スウガク</t>
    </rPh>
    <rPh sb="4" eb="6">
      <t>トクテン</t>
    </rPh>
    <phoneticPr fontId="2"/>
  </si>
  <si>
    <t>②＝①－平均点</t>
    <rPh sb="4" eb="7">
      <t>ヘイキンテン</t>
    </rPh>
    <phoneticPr fontId="2"/>
  </si>
  <si>
    <t>③＝②÷標準偏差</t>
    <rPh sb="4" eb="6">
      <t>ヒョウジュン</t>
    </rPh>
    <rPh sb="6" eb="8">
      <t>ヘンサ</t>
    </rPh>
    <phoneticPr fontId="2"/>
  </si>
  <si>
    <t>国語の基準化データ</t>
    <rPh sb="0" eb="2">
      <t>コクゴ</t>
    </rPh>
    <rPh sb="3" eb="6">
      <t>キジュンカ</t>
    </rPh>
    <phoneticPr fontId="2"/>
  </si>
  <si>
    <t>④国語の得点</t>
    <rPh sb="1" eb="3">
      <t>コクゴ</t>
    </rPh>
    <rPh sb="4" eb="6">
      <t>トクテン</t>
    </rPh>
    <phoneticPr fontId="2"/>
  </si>
  <si>
    <t>⑤＝④－平均点</t>
    <rPh sb="4" eb="7">
      <t>ヘイキンテン</t>
    </rPh>
    <phoneticPr fontId="2"/>
  </si>
  <si>
    <t>⑥＝⑤÷標準偏差</t>
    <rPh sb="4" eb="6">
      <t>ヒョウジュン</t>
    </rPh>
    <rPh sb="6" eb="8">
      <t>ヘンサ</t>
    </rPh>
    <phoneticPr fontId="2"/>
  </si>
  <si>
    <t>範囲</t>
    <rPh sb="0" eb="2">
      <t>ハンイ</t>
    </rPh>
    <phoneticPr fontId="2"/>
  </si>
  <si>
    <t>四分位範囲</t>
    <rPh sb="3" eb="5">
      <t>ハンイ</t>
    </rPh>
    <phoneticPr fontId="2"/>
  </si>
  <si>
    <t>四分位偏差</t>
    <rPh sb="3" eb="5">
      <t>ヘンサ</t>
    </rPh>
    <phoneticPr fontId="2"/>
  </si>
  <si>
    <t>平均偏差</t>
    <rPh sb="0" eb="2">
      <t>ヘイキン</t>
    </rPh>
    <rPh sb="2" eb="4">
      <t>ヘンサ</t>
    </rPh>
    <phoneticPr fontId="2"/>
  </si>
  <si>
    <t>全変動</t>
    <rPh sb="0" eb="1">
      <t>ゼン</t>
    </rPh>
    <rPh sb="1" eb="3">
      <t>ヘンドウ</t>
    </rPh>
    <phoneticPr fontId="2"/>
  </si>
  <si>
    <t>不偏分差</t>
    <rPh sb="0" eb="2">
      <t>フヘン</t>
    </rPh>
    <rPh sb="2" eb="3">
      <t>ブン</t>
    </rPh>
    <rPh sb="3" eb="4">
      <t>サ</t>
    </rPh>
    <phoneticPr fontId="2"/>
  </si>
  <si>
    <t>標準偏差(σ)</t>
    <rPh sb="0" eb="2">
      <t>ヒョウジュン</t>
    </rPh>
    <rPh sb="2" eb="4">
      <t>ヘンサ</t>
    </rPh>
    <phoneticPr fontId="2"/>
  </si>
  <si>
    <t>売場</t>
    <rPh sb="0" eb="1">
      <t>ウ</t>
    </rPh>
    <rPh sb="1" eb="2">
      <t>バ</t>
    </rPh>
    <phoneticPr fontId="3"/>
  </si>
  <si>
    <t>忘れ物件数</t>
    <rPh sb="0" eb="1">
      <t>ワス</t>
    </rPh>
    <rPh sb="2" eb="3">
      <t>モノ</t>
    </rPh>
    <rPh sb="3" eb="5">
      <t>ケンスウ</t>
    </rPh>
    <phoneticPr fontId="3"/>
  </si>
  <si>
    <t>累積比率</t>
    <rPh sb="0" eb="2">
      <t>ルイセキ</t>
    </rPh>
    <rPh sb="2" eb="4">
      <t>ヒリツ</t>
    </rPh>
    <phoneticPr fontId="3"/>
  </si>
  <si>
    <t>洋服</t>
    <rPh sb="0" eb="2">
      <t>ヨウフク</t>
    </rPh>
    <phoneticPr fontId="3"/>
  </si>
  <si>
    <t>おもちゃ</t>
    <phoneticPr fontId="3"/>
  </si>
  <si>
    <t>食品</t>
    <rPh sb="0" eb="2">
      <t>ショクヒン</t>
    </rPh>
    <phoneticPr fontId="3"/>
  </si>
  <si>
    <t>食堂</t>
    <rPh sb="0" eb="2">
      <t>ショクドウ</t>
    </rPh>
    <phoneticPr fontId="3"/>
  </si>
  <si>
    <t>化粧品</t>
    <rPh sb="0" eb="3">
      <t>ケショウヒン</t>
    </rPh>
    <phoneticPr fontId="3"/>
  </si>
  <si>
    <t>書籍</t>
    <rPh sb="0" eb="2">
      <t>ショセキ</t>
    </rPh>
    <phoneticPr fontId="3"/>
  </si>
  <si>
    <t>文具</t>
    <rPh sb="0" eb="2">
      <t>ブング</t>
    </rPh>
    <phoneticPr fontId="3"/>
  </si>
  <si>
    <t>その他</t>
    <rPh sb="2" eb="3">
      <t>タ</t>
    </rPh>
    <phoneticPr fontId="3"/>
  </si>
  <si>
    <t>-</t>
    <phoneticPr fontId="3"/>
  </si>
  <si>
    <t>累積件数</t>
    <rPh sb="0" eb="2">
      <t>ルイセキ</t>
    </rPh>
    <rPh sb="2" eb="4">
      <t>ケンスウ</t>
    </rPh>
    <phoneticPr fontId="2"/>
  </si>
  <si>
    <t>-</t>
    <phoneticPr fontId="2"/>
  </si>
  <si>
    <t>累積比率(%)</t>
    <rPh sb="0" eb="2">
      <t>ルイセキ</t>
    </rPh>
    <rPh sb="2" eb="4">
      <t>ヒリツ</t>
    </rPh>
    <phoneticPr fontId="3"/>
  </si>
  <si>
    <t>データ</t>
    <phoneticPr fontId="14"/>
  </si>
  <si>
    <t>ヒストグラム準備データ</t>
    <rPh sb="6" eb="8">
      <t>ジュンビ</t>
    </rPh>
    <phoneticPr fontId="2"/>
  </si>
  <si>
    <t>測定単位</t>
    <rPh sb="0" eb="2">
      <t>ソクテイ</t>
    </rPh>
    <rPh sb="2" eb="4">
      <t>タンイ</t>
    </rPh>
    <phoneticPr fontId="14"/>
  </si>
  <si>
    <t>データ数　ｎ</t>
    <rPh sb="3" eb="4">
      <t>スウ</t>
    </rPh>
    <phoneticPr fontId="14"/>
  </si>
  <si>
    <t>最大値</t>
    <rPh sb="0" eb="3">
      <t>サイダイチ</t>
    </rPh>
    <phoneticPr fontId="14"/>
  </si>
  <si>
    <t>最小値</t>
    <rPh sb="0" eb="3">
      <t>サイショウチ</t>
    </rPh>
    <phoneticPr fontId="14"/>
  </si>
  <si>
    <t>範囲　Ｒ</t>
    <rPh sb="0" eb="2">
      <t>ハンイ</t>
    </rPh>
    <phoneticPr fontId="14"/>
  </si>
  <si>
    <t>ｎの平方根</t>
    <rPh sb="2" eb="5">
      <t>ヘイホウコン</t>
    </rPh>
    <phoneticPr fontId="14"/>
  </si>
  <si>
    <t>仮の区間の幅</t>
    <rPh sb="0" eb="1">
      <t>カリ</t>
    </rPh>
    <rPh sb="2" eb="4">
      <t>クカン</t>
    </rPh>
    <rPh sb="5" eb="6">
      <t>ハバ</t>
    </rPh>
    <phoneticPr fontId="14"/>
  </si>
  <si>
    <t>区間の幅</t>
    <rPh sb="0" eb="2">
      <t>クカン</t>
    </rPh>
    <rPh sb="3" eb="4">
      <t>ハバ</t>
    </rPh>
    <phoneticPr fontId="14"/>
  </si>
  <si>
    <t>区間</t>
    <rPh sb="0" eb="2">
      <t>クカン</t>
    </rPh>
    <phoneticPr fontId="14"/>
  </si>
  <si>
    <t>下限境界線</t>
    <rPh sb="0" eb="2">
      <t>カゲン</t>
    </rPh>
    <rPh sb="2" eb="5">
      <t>キョウカイセン</t>
    </rPh>
    <phoneticPr fontId="14"/>
  </si>
  <si>
    <t>上限境界線</t>
    <rPh sb="0" eb="2">
      <t>ジョウゲン</t>
    </rPh>
    <rPh sb="2" eb="5">
      <t>キョウカイセン</t>
    </rPh>
    <phoneticPr fontId="14"/>
  </si>
  <si>
    <t>中心値</t>
    <rPh sb="0" eb="3">
      <t>チュウシンチ</t>
    </rPh>
    <phoneticPr fontId="14"/>
  </si>
  <si>
    <t>度数</t>
    <rPh sb="0" eb="2">
      <t>ドスウ</t>
    </rPh>
    <phoneticPr fontId="14"/>
  </si>
  <si>
    <t>第１区間</t>
    <rPh sb="0" eb="1">
      <t>ダイ</t>
    </rPh>
    <rPh sb="2" eb="4">
      <t>クカン</t>
    </rPh>
    <phoneticPr fontId="14"/>
  </si>
  <si>
    <t>=COUNT(A2:J11)</t>
    <phoneticPr fontId="14"/>
  </si>
  <si>
    <t>第２区間</t>
    <rPh sb="0" eb="1">
      <t>ダイ</t>
    </rPh>
    <rPh sb="2" eb="4">
      <t>クカン</t>
    </rPh>
    <phoneticPr fontId="14"/>
  </si>
  <si>
    <t>=MAX(A2:J11)</t>
    <phoneticPr fontId="14"/>
  </si>
  <si>
    <t>第３区間</t>
    <rPh sb="0" eb="1">
      <t>ダイ</t>
    </rPh>
    <rPh sb="2" eb="4">
      <t>クカン</t>
    </rPh>
    <phoneticPr fontId="14"/>
  </si>
  <si>
    <t>=MIN(A2:J11)</t>
    <phoneticPr fontId="14"/>
  </si>
  <si>
    <t>第４区間</t>
    <rPh sb="0" eb="1">
      <t>ダイ</t>
    </rPh>
    <rPh sb="2" eb="4">
      <t>クカン</t>
    </rPh>
    <phoneticPr fontId="14"/>
  </si>
  <si>
    <t>=M4-M5</t>
    <phoneticPr fontId="14"/>
  </si>
  <si>
    <t>第５区間</t>
    <rPh sb="0" eb="1">
      <t>ダイ</t>
    </rPh>
    <rPh sb="2" eb="4">
      <t>クカン</t>
    </rPh>
    <phoneticPr fontId="14"/>
  </si>
  <si>
    <t>=SQRT(M3)</t>
    <phoneticPr fontId="14"/>
  </si>
  <si>
    <t>第６区間</t>
    <rPh sb="0" eb="1">
      <t>ダイ</t>
    </rPh>
    <rPh sb="2" eb="4">
      <t>クカン</t>
    </rPh>
    <phoneticPr fontId="14"/>
  </si>
  <si>
    <t>=M6/M7</t>
    <phoneticPr fontId="14"/>
  </si>
  <si>
    <t>第７区間</t>
    <rPh sb="0" eb="1">
      <t>ダイ</t>
    </rPh>
    <rPh sb="2" eb="4">
      <t>クカン</t>
    </rPh>
    <phoneticPr fontId="14"/>
  </si>
  <si>
    <t>=ROUNDUP(M8,2)</t>
    <phoneticPr fontId="2"/>
  </si>
  <si>
    <t>第８区間</t>
    <rPh sb="0" eb="1">
      <t>ダイ</t>
    </rPh>
    <rPh sb="2" eb="4">
      <t>クカン</t>
    </rPh>
    <phoneticPr fontId="14"/>
  </si>
  <si>
    <t>第９区間</t>
    <rPh sb="0" eb="1">
      <t>ダイ</t>
    </rPh>
    <rPh sb="2" eb="4">
      <t>クカン</t>
    </rPh>
    <phoneticPr fontId="14"/>
  </si>
  <si>
    <t>第１０区間</t>
    <rPh sb="0" eb="1">
      <t>ダイ</t>
    </rPh>
    <rPh sb="3" eb="5">
      <t>クカン</t>
    </rPh>
    <phoneticPr fontId="14"/>
  </si>
  <si>
    <t>国語偏差</t>
    <rPh sb="0" eb="2">
      <t>コクゴ</t>
    </rPh>
    <rPh sb="2" eb="4">
      <t>ヘンサ</t>
    </rPh>
    <phoneticPr fontId="2"/>
  </si>
  <si>
    <t>英語偏差</t>
    <rPh sb="0" eb="2">
      <t>エイゴ</t>
    </rPh>
    <rPh sb="2" eb="4">
      <t>ヘンサ</t>
    </rPh>
    <phoneticPr fontId="2"/>
  </si>
  <si>
    <t>偏差積</t>
    <rPh sb="0" eb="2">
      <t>ヘンサ</t>
    </rPh>
    <rPh sb="2" eb="3">
      <t>セキ</t>
    </rPh>
    <phoneticPr fontId="2"/>
  </si>
  <si>
    <t>平均</t>
    <rPh sb="0" eb="2">
      <t>ヘイキン</t>
    </rPh>
    <phoneticPr fontId="3"/>
  </si>
  <si>
    <t>①</t>
  </si>
  <si>
    <t>①</t>
    <phoneticPr fontId="2"/>
  </si>
  <si>
    <t>②</t>
  </si>
  <si>
    <t>②</t>
    <phoneticPr fontId="2"/>
  </si>
  <si>
    <t>③</t>
  </si>
  <si>
    <t>③</t>
    <phoneticPr fontId="2"/>
  </si>
  <si>
    <t>①×②　偏差積</t>
    <rPh sb="4" eb="6">
      <t>ヘンサ</t>
    </rPh>
    <rPh sb="6" eb="7">
      <t>セキ</t>
    </rPh>
    <phoneticPr fontId="2"/>
  </si>
  <si>
    <t>④</t>
  </si>
  <si>
    <t>④</t>
    <phoneticPr fontId="2"/>
  </si>
  <si>
    <t>⑤</t>
  </si>
  <si>
    <t>⑤</t>
    <phoneticPr fontId="2"/>
  </si>
  <si>
    <r>
      <t>①</t>
    </r>
    <r>
      <rPr>
        <shadow/>
        <vertAlign val="superscript"/>
        <sz val="11"/>
        <color rgb="FF000000"/>
        <rFont val="ＭＳ Ｐゴシック"/>
        <family val="3"/>
        <charset val="128"/>
      </rPr>
      <t xml:space="preserve">2   </t>
    </r>
    <r>
      <rPr>
        <shadow/>
        <sz val="11"/>
        <color rgb="FF000000"/>
        <rFont val="ＭＳ Ｐゴシック"/>
        <family val="3"/>
        <charset val="128"/>
      </rPr>
      <t>国語変動</t>
    </r>
    <rPh sb="5" eb="7">
      <t>コクゴ</t>
    </rPh>
    <rPh sb="7" eb="9">
      <t>ヘンドウ</t>
    </rPh>
    <phoneticPr fontId="2"/>
  </si>
  <si>
    <r>
      <t>②</t>
    </r>
    <r>
      <rPr>
        <shadow/>
        <vertAlign val="superscript"/>
        <sz val="11"/>
        <color rgb="FF000000"/>
        <rFont val="ＭＳ Ｐゴシック"/>
        <family val="3"/>
        <charset val="128"/>
      </rPr>
      <t>2</t>
    </r>
    <r>
      <rPr>
        <shadow/>
        <sz val="11"/>
        <color rgb="FF000000"/>
        <rFont val="ＭＳ Ｐゴシック"/>
        <family val="3"/>
        <charset val="128"/>
      </rPr>
      <t xml:space="preserve">  英語変動</t>
    </r>
    <rPh sb="4" eb="6">
      <t>エイゴ</t>
    </rPh>
    <rPh sb="6" eb="8">
      <t>ヘンドウ</t>
    </rPh>
    <phoneticPr fontId="2"/>
  </si>
  <si>
    <t>身の回りの価格の推移</t>
    <rPh sb="0" eb="1">
      <t>ミ</t>
    </rPh>
    <rPh sb="2" eb="3">
      <t>マワ</t>
    </rPh>
    <rPh sb="5" eb="7">
      <t>カカク</t>
    </rPh>
    <rPh sb="8" eb="10">
      <t>スイイ</t>
    </rPh>
    <phoneticPr fontId="2"/>
  </si>
  <si>
    <t>相関係数の一覧</t>
    <rPh sb="0" eb="2">
      <t>ソウカン</t>
    </rPh>
    <rPh sb="2" eb="4">
      <t>ケイスウ</t>
    </rPh>
    <rPh sb="5" eb="7">
      <t>イチラン</t>
    </rPh>
    <phoneticPr fontId="2"/>
  </si>
  <si>
    <t>ｺｰﾋｰ1杯</t>
    <phoneticPr fontId="3"/>
  </si>
  <si>
    <t>鶏卵(1個)</t>
    <phoneticPr fontId="3"/>
  </si>
  <si>
    <r>
      <t xml:space="preserve">1 </t>
    </r>
    <r>
      <rPr>
        <sz val="11"/>
        <color rgb="FF000000"/>
        <rFont val="ＭＳ Ｐゴシック"/>
        <family val="3"/>
        <charset val="128"/>
      </rPr>
      <t>ﾋﾞｰﾙ大瓶1本</t>
    </r>
    <phoneticPr fontId="2"/>
  </si>
  <si>
    <r>
      <t xml:space="preserve">2 </t>
    </r>
    <r>
      <rPr>
        <sz val="11"/>
        <color rgb="FF000000"/>
        <rFont val="ＭＳ Ｐゴシック"/>
        <family val="3"/>
        <charset val="128"/>
      </rPr>
      <t>ｺｰﾋｰ1杯</t>
    </r>
  </si>
  <si>
    <r>
      <t xml:space="preserve">3 </t>
    </r>
    <r>
      <rPr>
        <sz val="11"/>
        <color rgb="FF000000"/>
        <rFont val="ＭＳ Ｐゴシック"/>
        <family val="3"/>
        <charset val="128"/>
      </rPr>
      <t>はがき代</t>
    </r>
  </si>
  <si>
    <r>
      <t xml:space="preserve">4 </t>
    </r>
    <r>
      <rPr>
        <sz val="11"/>
        <color rgb="FF000000"/>
        <rFont val="ＭＳ Ｐゴシック"/>
        <family val="3"/>
        <charset val="128"/>
      </rPr>
      <t>理髪料</t>
    </r>
  </si>
  <si>
    <t>5 鶏卵(1個)</t>
    <phoneticPr fontId="3"/>
  </si>
  <si>
    <t>体重の偏差</t>
    <rPh sb="0" eb="2">
      <t>タイジュウ</t>
    </rPh>
    <rPh sb="3" eb="5">
      <t>ヘンサ</t>
    </rPh>
    <phoneticPr fontId="2"/>
  </si>
  <si>
    <t>身長の偏差</t>
    <rPh sb="0" eb="2">
      <t>シンチョウ</t>
    </rPh>
    <rPh sb="3" eb="5">
      <t>ヘンサ</t>
    </rPh>
    <phoneticPr fontId="2"/>
  </si>
  <si>
    <t>体重の変動</t>
    <rPh sb="0" eb="2">
      <t>タイジュウ</t>
    </rPh>
    <rPh sb="3" eb="5">
      <t>ヘンドウ</t>
    </rPh>
    <phoneticPr fontId="2"/>
  </si>
  <si>
    <t>①:X</t>
    <phoneticPr fontId="2"/>
  </si>
  <si>
    <t>②:y</t>
    <phoneticPr fontId="2"/>
  </si>
  <si>
    <t>③=①－体重の平均</t>
    <rPh sb="4" eb="6">
      <t>タイジュウ</t>
    </rPh>
    <rPh sb="7" eb="9">
      <t>ヘイキン</t>
    </rPh>
    <phoneticPr fontId="2"/>
  </si>
  <si>
    <t>④=②－身長の平均</t>
    <rPh sb="4" eb="6">
      <t>シンチョウ</t>
    </rPh>
    <rPh sb="7" eb="9">
      <t>ヘイキン</t>
    </rPh>
    <phoneticPr fontId="2"/>
  </si>
  <si>
    <t>⑤＝③×④</t>
    <phoneticPr fontId="2"/>
  </si>
  <si>
    <t>⑥＝③×③</t>
    <phoneticPr fontId="2"/>
  </si>
  <si>
    <t>身長(cm):実測値</t>
    <rPh sb="7" eb="10">
      <t>ジッソクチ</t>
    </rPh>
    <phoneticPr fontId="2"/>
  </si>
  <si>
    <t>残差</t>
    <rPh sb="0" eb="2">
      <t>ザンサ</t>
    </rPh>
    <phoneticPr fontId="2"/>
  </si>
  <si>
    <t>③=1.298x+93.21</t>
    <phoneticPr fontId="2"/>
  </si>
  <si>
    <t>④=③－②</t>
    <phoneticPr fontId="2"/>
  </si>
  <si>
    <t>①人数</t>
  </si>
  <si>
    <t>②Ｃｍ</t>
  </si>
  <si>
    <t>⑥＝①×⑤</t>
  </si>
  <si>
    <t>④偏差</t>
    <rPh sb="1" eb="3">
      <t>ヘンサ</t>
    </rPh>
    <phoneticPr fontId="3"/>
  </si>
  <si>
    <t>⑤偏差の2乗</t>
    <rPh sb="1" eb="3">
      <t>ヘンサ</t>
    </rPh>
    <rPh sb="5" eb="6">
      <t>ジョウ</t>
    </rPh>
    <phoneticPr fontId="3"/>
  </si>
  <si>
    <t>標準偏差</t>
    <rPh sb="0" eb="2">
      <t>ヒョウジュン</t>
    </rPh>
    <rPh sb="2" eb="4">
      <t>ヘンサ</t>
    </rPh>
    <phoneticPr fontId="3"/>
  </si>
  <si>
    <t>①－国語の平均</t>
    <rPh sb="2" eb="4">
      <t>コクゴ</t>
    </rPh>
    <rPh sb="5" eb="7">
      <t>ヘイキン</t>
    </rPh>
    <phoneticPr fontId="2"/>
  </si>
  <si>
    <t>②－英語の平均</t>
    <rPh sb="2" eb="4">
      <t>エイゴ</t>
    </rPh>
    <rPh sb="5" eb="7">
      <t>ヘイキン</t>
    </rPh>
    <phoneticPr fontId="2"/>
  </si>
  <si>
    <t>③÷国語の標準偏差</t>
    <rPh sb="2" eb="4">
      <t>コクゴ</t>
    </rPh>
    <rPh sb="5" eb="7">
      <t>ヒョウジュン</t>
    </rPh>
    <rPh sb="7" eb="9">
      <t>ヘンサ</t>
    </rPh>
    <phoneticPr fontId="2"/>
  </si>
  <si>
    <t>⑥</t>
    <phoneticPr fontId="2"/>
  </si>
  <si>
    <t>④÷英語の標準偏差</t>
    <rPh sb="2" eb="4">
      <t>エイゴ</t>
    </rPh>
    <rPh sb="5" eb="7">
      <t>ヒョウジュン</t>
    </rPh>
    <rPh sb="7" eb="9">
      <t>ヘンサ</t>
    </rPh>
    <phoneticPr fontId="2"/>
  </si>
  <si>
    <t>国語の偏差値</t>
    <rPh sb="0" eb="2">
      <t>コクゴ</t>
    </rPh>
    <rPh sb="3" eb="6">
      <t>ヘンサチ</t>
    </rPh>
    <phoneticPr fontId="2"/>
  </si>
  <si>
    <t>英語の偏差値</t>
    <rPh sb="0" eb="2">
      <t>エイゴ</t>
    </rPh>
    <rPh sb="3" eb="6">
      <t>ヘンサチ</t>
    </rPh>
    <phoneticPr fontId="2"/>
  </si>
  <si>
    <t>表枚数</t>
  </si>
  <si>
    <t>確率</t>
  </si>
  <si>
    <t>変動</t>
    <rPh sb="0" eb="2">
      <t>ヘンドウ</t>
    </rPh>
    <phoneticPr fontId="2"/>
  </si>
  <si>
    <t>自由度</t>
    <rPh sb="0" eb="3">
      <t>ジユウド</t>
    </rPh>
    <phoneticPr fontId="2"/>
  </si>
  <si>
    <t>有意水準（α）</t>
    <rPh sb="0" eb="4">
      <t>ユウイスイジュン</t>
    </rPh>
    <phoneticPr fontId="2"/>
  </si>
  <si>
    <t>データ－１</t>
    <phoneticPr fontId="2"/>
  </si>
  <si>
    <t>有意水準（α）</t>
  </si>
  <si>
    <t>分子の自由度</t>
    <rPh sb="0" eb="2">
      <t>ブンシ</t>
    </rPh>
    <rPh sb="3" eb="6">
      <t>ジユウド</t>
    </rPh>
    <phoneticPr fontId="2"/>
  </si>
  <si>
    <t>分母の自由度</t>
    <rPh sb="0" eb="2">
      <t>ブンボ</t>
    </rPh>
    <rPh sb="3" eb="6">
      <t>ジユウド</t>
    </rPh>
    <phoneticPr fontId="2"/>
  </si>
  <si>
    <t>①実測値</t>
    <rPh sb="1" eb="4">
      <t>ジッソクチ</t>
    </rPh>
    <phoneticPr fontId="2"/>
  </si>
  <si>
    <t>②＝①－25</t>
    <phoneticPr fontId="2"/>
  </si>
  <si>
    <t>（単位：秒）</t>
    <rPh sb="1" eb="3">
      <t>タンイ</t>
    </rPh>
    <rPh sb="4" eb="5">
      <t>ビョウ</t>
    </rPh>
    <phoneticPr fontId="2"/>
  </si>
  <si>
    <t>目標値(25秒)との偏差</t>
    <rPh sb="0" eb="3">
      <t>モクヒョウチ</t>
    </rPh>
    <rPh sb="6" eb="7">
      <t>ビョウ</t>
    </rPh>
    <rPh sb="10" eb="12">
      <t>ヘンサ</t>
    </rPh>
    <phoneticPr fontId="2"/>
  </si>
  <si>
    <t>単位：秒</t>
    <rPh sb="0" eb="2">
      <t>タンイ</t>
    </rPh>
    <rPh sb="3" eb="4">
      <t>ビョウ</t>
    </rPh>
    <phoneticPr fontId="2"/>
  </si>
  <si>
    <t>③：②の平均値</t>
    <rPh sb="4" eb="7">
      <t>ヘイキンチ</t>
    </rPh>
    <phoneticPr fontId="2"/>
  </si>
  <si>
    <t>④＝②－③</t>
    <phoneticPr fontId="2"/>
  </si>
  <si>
    <t>共通部分</t>
    <rPh sb="0" eb="2">
      <t>キョウツウ</t>
    </rPh>
    <rPh sb="2" eb="4">
      <t>ブブン</t>
    </rPh>
    <phoneticPr fontId="2"/>
  </si>
  <si>
    <t>固有部分</t>
    <rPh sb="0" eb="2">
      <t>コユウ</t>
    </rPh>
    <rPh sb="2" eb="4">
      <t>ブブン</t>
    </rPh>
    <phoneticPr fontId="2"/>
  </si>
  <si>
    <t>④＝①×①</t>
    <phoneticPr fontId="2"/>
  </si>
  <si>
    <t>⑤＝②×②</t>
    <phoneticPr fontId="2"/>
  </si>
  <si>
    <t>共通部分変動</t>
    <rPh sb="0" eb="2">
      <t>キョウツウ</t>
    </rPh>
    <rPh sb="2" eb="4">
      <t>ブブン</t>
    </rPh>
    <rPh sb="4" eb="6">
      <t>ヘンドウ</t>
    </rPh>
    <phoneticPr fontId="2"/>
  </si>
  <si>
    <t>固有部分変動</t>
    <rPh sb="0" eb="2">
      <t>コユウ</t>
    </rPh>
    <rPh sb="2" eb="4">
      <t>ブブン</t>
    </rPh>
    <rPh sb="4" eb="6">
      <t>ヘンドウ</t>
    </rPh>
    <phoneticPr fontId="2"/>
  </si>
  <si>
    <t>Ｂ社</t>
  </si>
  <si>
    <t>⑤：パソコンの平均と全体の平均の差</t>
    <rPh sb="7" eb="9">
      <t>ヘイキン</t>
    </rPh>
    <rPh sb="10" eb="12">
      <t>ゼンタイ</t>
    </rPh>
    <rPh sb="13" eb="15">
      <t>ヘイキン</t>
    </rPh>
    <rPh sb="16" eb="17">
      <t>サ</t>
    </rPh>
    <phoneticPr fontId="2"/>
  </si>
  <si>
    <t>⑥＝④－⑤</t>
    <phoneticPr fontId="2"/>
  </si>
  <si>
    <t>パソコンの違い</t>
    <rPh sb="5" eb="6">
      <t>チガ</t>
    </rPh>
    <phoneticPr fontId="2"/>
  </si>
  <si>
    <t>その他</t>
    <rPh sb="2" eb="3">
      <t>タ</t>
    </rPh>
    <phoneticPr fontId="2"/>
  </si>
  <si>
    <t>パソコン間の偏差</t>
    <rPh sb="4" eb="5">
      <t>カン</t>
    </rPh>
    <rPh sb="6" eb="8">
      <t>ヘンサ</t>
    </rPh>
    <phoneticPr fontId="2"/>
  </si>
  <si>
    <t>パソコン間の変動</t>
    <rPh sb="4" eb="5">
      <t>カン</t>
    </rPh>
    <rPh sb="6" eb="8">
      <t>ヘンドウ</t>
    </rPh>
    <phoneticPr fontId="2"/>
  </si>
  <si>
    <t>その他の偏差</t>
    <rPh sb="2" eb="3">
      <t>タ</t>
    </rPh>
    <rPh sb="4" eb="6">
      <t>ヘンサ</t>
    </rPh>
    <phoneticPr fontId="2"/>
  </si>
  <si>
    <t>その他の変動</t>
    <rPh sb="2" eb="3">
      <t>タ</t>
    </rPh>
    <rPh sb="4" eb="6">
      <t>ヘンドウ</t>
    </rPh>
    <phoneticPr fontId="2"/>
  </si>
  <si>
    <t>全変動ＳＴ</t>
    <rPh sb="0" eb="1">
      <t>ゼン</t>
    </rPh>
    <rPh sb="1" eb="3">
      <t>ヘンドウ</t>
    </rPh>
    <phoneticPr fontId="2"/>
  </si>
  <si>
    <t>一般平均の変動Ｓｍ</t>
    <rPh sb="0" eb="2">
      <t>イッパン</t>
    </rPh>
    <rPh sb="2" eb="4">
      <t>ヘイキン</t>
    </rPh>
    <rPh sb="5" eb="7">
      <t>ヘンドウ</t>
    </rPh>
    <phoneticPr fontId="2"/>
  </si>
  <si>
    <t>設備間の変動ＳＡ</t>
    <rPh sb="0" eb="2">
      <t>セツビ</t>
    </rPh>
    <rPh sb="2" eb="3">
      <t>カン</t>
    </rPh>
    <rPh sb="4" eb="6">
      <t>ヘンドウ</t>
    </rPh>
    <phoneticPr fontId="2"/>
  </si>
  <si>
    <t>誤差変動Ｓｅ</t>
    <rPh sb="0" eb="2">
      <t>ゴサ</t>
    </rPh>
    <rPh sb="2" eb="4">
      <t>ヘンドウ</t>
    </rPh>
    <phoneticPr fontId="2"/>
  </si>
  <si>
    <t>設備間の分散</t>
    <rPh sb="0" eb="2">
      <t>セツビ</t>
    </rPh>
    <rPh sb="2" eb="3">
      <t>カン</t>
    </rPh>
    <rPh sb="4" eb="6">
      <t>ブンサン</t>
    </rPh>
    <phoneticPr fontId="2"/>
  </si>
  <si>
    <t>誤差分散</t>
    <rPh sb="0" eb="2">
      <t>ゴサ</t>
    </rPh>
    <rPh sb="2" eb="4">
      <t>ブンサン</t>
    </rPh>
    <phoneticPr fontId="2"/>
  </si>
  <si>
    <t>共通</t>
    <rPh sb="0" eb="2">
      <t>キョウツウ</t>
    </rPh>
    <phoneticPr fontId="2"/>
  </si>
  <si>
    <t>販促策</t>
    <rPh sb="0" eb="2">
      <t>ハンソク</t>
    </rPh>
    <rPh sb="2" eb="3">
      <t>サク</t>
    </rPh>
    <phoneticPr fontId="2"/>
  </si>
  <si>
    <t>店舗</t>
    <rPh sb="0" eb="2">
      <t>テンポ</t>
    </rPh>
    <phoneticPr fontId="2"/>
  </si>
  <si>
    <t>単位：売上伸び率（現状を100）</t>
  </si>
  <si>
    <r>
      <t>販売促進策の変動Ｓ</t>
    </r>
    <r>
      <rPr>
        <vertAlign val="subscript"/>
        <sz val="11"/>
        <color theme="1"/>
        <rFont val="ＭＳ Ｐゴシック"/>
        <family val="3"/>
        <charset val="128"/>
      </rPr>
      <t>Ａ</t>
    </r>
    <rPh sb="0" eb="2">
      <t>ハンバイ</t>
    </rPh>
    <rPh sb="2" eb="4">
      <t>ソクシン</t>
    </rPh>
    <rPh sb="4" eb="5">
      <t>サク</t>
    </rPh>
    <rPh sb="6" eb="8">
      <t>ヘンドウ</t>
    </rPh>
    <phoneticPr fontId="2"/>
  </si>
  <si>
    <r>
      <t>店舗間の変動Ｓ</t>
    </r>
    <r>
      <rPr>
        <vertAlign val="subscript"/>
        <sz val="11"/>
        <color theme="1"/>
        <rFont val="ＭＳ Ｐゴシック"/>
        <family val="3"/>
        <charset val="128"/>
      </rPr>
      <t>Ｂ</t>
    </r>
    <rPh sb="0" eb="2">
      <t>テンポ</t>
    </rPh>
    <rPh sb="2" eb="3">
      <t>カン</t>
    </rPh>
    <rPh sb="4" eb="6">
      <t>ヘンドウ</t>
    </rPh>
    <phoneticPr fontId="2"/>
  </si>
  <si>
    <t>合計二元表</t>
    <rPh sb="0" eb="2">
      <t>ゴウケイ</t>
    </rPh>
    <rPh sb="2" eb="4">
      <t>ニゲン</t>
    </rPh>
    <rPh sb="4" eb="5">
      <t>ヒョウ</t>
    </rPh>
    <phoneticPr fontId="2"/>
  </si>
  <si>
    <t>販売促進策の変動ＳＡ</t>
    <rPh sb="0" eb="2">
      <t>ハンバイ</t>
    </rPh>
    <rPh sb="2" eb="4">
      <t>ソクシン</t>
    </rPh>
    <rPh sb="4" eb="5">
      <t>サク</t>
    </rPh>
    <rPh sb="6" eb="8">
      <t>ヘンドウ</t>
    </rPh>
    <phoneticPr fontId="2"/>
  </si>
  <si>
    <t>店舗間の変動ＳＢ</t>
    <rPh sb="0" eb="2">
      <t>テンポ</t>
    </rPh>
    <rPh sb="2" eb="3">
      <t>カン</t>
    </rPh>
    <rPh sb="4" eb="6">
      <t>ヘンドウ</t>
    </rPh>
    <phoneticPr fontId="2"/>
  </si>
  <si>
    <r>
      <t>総変動Ｓ</t>
    </r>
    <r>
      <rPr>
        <vertAlign val="subscript"/>
        <sz val="11"/>
        <color theme="1"/>
        <rFont val="ＭＳ Ｐゴシック"/>
        <family val="3"/>
        <charset val="128"/>
      </rPr>
      <t>ＡＢ</t>
    </r>
    <rPh sb="0" eb="1">
      <t>ソウ</t>
    </rPh>
    <rPh sb="1" eb="3">
      <t>ヘンドウ</t>
    </rPh>
    <phoneticPr fontId="2"/>
  </si>
  <si>
    <r>
      <t>交互作用の変動Ｓ</t>
    </r>
    <r>
      <rPr>
        <vertAlign val="subscript"/>
        <sz val="11"/>
        <color theme="1"/>
        <rFont val="ＭＳ Ｐゴシック"/>
        <family val="3"/>
        <charset val="128"/>
      </rPr>
      <t>Ａ×Ｂ</t>
    </r>
    <rPh sb="0" eb="2">
      <t>コウゴ</t>
    </rPh>
    <rPh sb="2" eb="4">
      <t>サヨウ</t>
    </rPh>
    <rPh sb="5" eb="7">
      <t>ヘンドウ</t>
    </rPh>
    <phoneticPr fontId="2"/>
  </si>
  <si>
    <t>自由度</t>
  </si>
  <si>
    <t>変動</t>
  </si>
  <si>
    <t>分散</t>
  </si>
  <si>
    <t>Ｆ値</t>
  </si>
  <si>
    <t>純変動</t>
  </si>
  <si>
    <t>寄与率</t>
  </si>
  <si>
    <t>一般平均(ｍ)</t>
  </si>
  <si>
    <t>パソコン間（Ａ）</t>
  </si>
  <si>
    <t>誤差（ｅ）</t>
  </si>
  <si>
    <t>合計（Ｔ）</t>
  </si>
  <si>
    <t>⑥</t>
  </si>
  <si>
    <t>⑦</t>
  </si>
  <si>
    <t>⑦</t>
    <phoneticPr fontId="2"/>
  </si>
  <si>
    <t>販売促進（Ａ）</t>
    <rPh sb="0" eb="2">
      <t>ハンバイ</t>
    </rPh>
    <rPh sb="2" eb="4">
      <t>ソクシン</t>
    </rPh>
    <phoneticPr fontId="2"/>
  </si>
  <si>
    <t>店舗（Ｂ）</t>
    <rPh sb="0" eb="2">
      <t>テンポ</t>
    </rPh>
    <phoneticPr fontId="2"/>
  </si>
  <si>
    <t>合計（Ｔ1）</t>
    <phoneticPr fontId="2"/>
  </si>
  <si>
    <t>交互作用</t>
    <rPh sb="0" eb="2">
      <t>コウゴ</t>
    </rPh>
    <rPh sb="2" eb="4">
      <t>サヨウ</t>
    </rPh>
    <phoneticPr fontId="2"/>
  </si>
  <si>
    <t>割引ﾁﾗｼ</t>
  </si>
  <si>
    <t>宅配ｻｰﾋﾞｽ×割引ﾁﾗｼ</t>
  </si>
  <si>
    <t>宅配ｻｰﾋﾞｽ×振込ｻｰﾋﾞｽ</t>
  </si>
  <si>
    <t>割引ﾁﾗｼ×振込ｻｰﾋﾞｽ</t>
  </si>
  <si>
    <t>水準</t>
    <rPh sb="0" eb="2">
      <t>スイジュン</t>
    </rPh>
    <phoneticPr fontId="2"/>
  </si>
  <si>
    <t>値</t>
    <rPh sb="0" eb="1">
      <t>アタイ</t>
    </rPh>
    <phoneticPr fontId="2"/>
  </si>
  <si>
    <t>収益の伸び率が高い</t>
    <rPh sb="0" eb="2">
      <t>シュウエキ</t>
    </rPh>
    <rPh sb="3" eb="4">
      <t>ノ</t>
    </rPh>
    <rPh sb="5" eb="6">
      <t>リツ</t>
    </rPh>
    <rPh sb="7" eb="8">
      <t>タカ</t>
    </rPh>
    <phoneticPr fontId="2"/>
  </si>
  <si>
    <t>合計（Ｔ1）</t>
  </si>
  <si>
    <t>Sm</t>
    <phoneticPr fontId="2"/>
  </si>
  <si>
    <t>ST</t>
    <phoneticPr fontId="2"/>
  </si>
  <si>
    <t>補助表</t>
    <rPh sb="0" eb="2">
      <t>ホジョ</t>
    </rPh>
    <rPh sb="2" eb="3">
      <t>ヒョウ</t>
    </rPh>
    <phoneticPr fontId="14"/>
  </si>
  <si>
    <t>最適水準</t>
  </si>
  <si>
    <t>水準</t>
    <rPh sb="0" eb="2">
      <t>スイジュン</t>
    </rPh>
    <phoneticPr fontId="14"/>
  </si>
  <si>
    <t/>
  </si>
  <si>
    <t>Ｆ</t>
  </si>
  <si>
    <t>Ｇ</t>
  </si>
  <si>
    <t>要因</t>
    <rPh sb="0" eb="2">
      <t>ヨウイン</t>
    </rPh>
    <phoneticPr fontId="2"/>
  </si>
  <si>
    <t>f(自由度)</t>
    <phoneticPr fontId="14"/>
  </si>
  <si>
    <t>S(変動)</t>
    <phoneticPr fontId="14"/>
  </si>
  <si>
    <t>V(分散)</t>
    <phoneticPr fontId="14"/>
  </si>
  <si>
    <t>S’(純変動)</t>
    <rPh sb="3" eb="4">
      <t>ジュン</t>
    </rPh>
    <phoneticPr fontId="14"/>
  </si>
  <si>
    <t>ρ(寄与率)</t>
    <rPh sb="2" eb="5">
      <t>キヨリツ</t>
    </rPh>
    <phoneticPr fontId="14"/>
  </si>
  <si>
    <r>
      <t>F</t>
    </r>
    <r>
      <rPr>
        <vertAlign val="subscript"/>
        <sz val="9"/>
        <color theme="1"/>
        <rFont val="ＭＳ Ｐゴシック"/>
        <family val="3"/>
        <charset val="128"/>
      </rPr>
      <t>0</t>
    </r>
    <r>
      <rPr>
        <sz val="9"/>
        <color theme="1"/>
        <rFont val="ＭＳ Ｐゴシック"/>
        <family val="3"/>
        <charset val="128"/>
      </rPr>
      <t>(分散比）</t>
    </r>
    <rPh sb="3" eb="5">
      <t>ブンサン</t>
    </rPh>
    <rPh sb="5" eb="6">
      <t>ヒ</t>
    </rPh>
    <phoneticPr fontId="2"/>
  </si>
  <si>
    <t>誤差（ｅ）</t>
    <rPh sb="0" eb="2">
      <t>ゴサ</t>
    </rPh>
    <phoneticPr fontId="2"/>
  </si>
  <si>
    <t>合計(T1)</t>
    <rPh sb="0" eb="2">
      <t>ゴウケイ</t>
    </rPh>
    <phoneticPr fontId="2"/>
  </si>
  <si>
    <r>
      <t>S</t>
    </r>
    <r>
      <rPr>
        <vertAlign val="subscript"/>
        <sz val="11"/>
        <color theme="1"/>
        <rFont val="ＭＳ Ｐゴシック"/>
        <family val="3"/>
        <charset val="128"/>
      </rPr>
      <t>T</t>
    </r>
    <phoneticPr fontId="2"/>
  </si>
</sst>
</file>

<file path=xl/styles.xml><?xml version="1.0" encoding="utf-8"?>
<styleSheet xmlns="http://schemas.openxmlformats.org/spreadsheetml/2006/main">
  <numFmts count="10">
    <numFmt numFmtId="176" formatCode="0.0"/>
    <numFmt numFmtId="177" formatCode="#,##0.0;[Red]\-#,##0.0"/>
    <numFmt numFmtId="178" formatCode="0.0_ "/>
    <numFmt numFmtId="179" formatCode="0.000"/>
    <numFmt numFmtId="180" formatCode="0_ "/>
    <numFmt numFmtId="181" formatCode="0.00_ "/>
    <numFmt numFmtId="182" formatCode="0.0000"/>
    <numFmt numFmtId="183" formatCode="0.000_ "/>
    <numFmt numFmtId="184" formatCode="#,##0.0_ ;[Red]\-#,##0.0\ "/>
    <numFmt numFmtId="185" formatCode="#,##0.00_ ;[Red]\-#,##0.00\ "/>
  </numFmts>
  <fonts count="2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hadow/>
      <sz val="11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.8000000000000007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hadow/>
      <vertAlign val="superscript"/>
      <sz val="11"/>
      <color rgb="FF000000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vertAlign val="subscript"/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70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3" borderId="16" xfId="0" applyFont="1" applyFill="1" applyBorder="1" applyAlignment="1">
      <alignment horizontal="right" vertical="center" wrapText="1" readingOrder="1"/>
    </xf>
    <xf numFmtId="0" fontId="0" fillId="3" borderId="17" xfId="0" applyFill="1" applyBorder="1">
      <alignment vertical="center"/>
    </xf>
    <xf numFmtId="38" fontId="0" fillId="3" borderId="17" xfId="1" applyFont="1" applyFill="1" applyBorder="1">
      <alignment vertical="center"/>
    </xf>
    <xf numFmtId="0" fontId="0" fillId="3" borderId="18" xfId="0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176" fontId="0" fillId="3" borderId="2" xfId="0" applyNumberFormat="1" applyFill="1" applyBorder="1">
      <alignment vertical="center"/>
    </xf>
    <xf numFmtId="176" fontId="0" fillId="3" borderId="19" xfId="0" applyNumberFormat="1" applyFill="1" applyBorder="1">
      <alignment vertical="center"/>
    </xf>
    <xf numFmtId="0" fontId="0" fillId="3" borderId="20" xfId="0" applyFill="1" applyBorder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vertical="center" wrapText="1" readingOrder="1"/>
    </xf>
    <xf numFmtId="3" fontId="4" fillId="3" borderId="13" xfId="0" applyNumberFormat="1" applyFont="1" applyFill="1" applyBorder="1" applyAlignment="1">
      <alignment horizontal="right" vertical="center" wrapText="1" readingOrder="1"/>
    </xf>
    <xf numFmtId="3" fontId="4" fillId="3" borderId="14" xfId="0" applyNumberFormat="1" applyFont="1" applyFill="1" applyBorder="1" applyAlignment="1">
      <alignment horizontal="right" vertical="center" wrapText="1" readingOrder="1"/>
    </xf>
    <xf numFmtId="3" fontId="4" fillId="3" borderId="15" xfId="0" applyNumberFormat="1" applyFont="1" applyFill="1" applyBorder="1" applyAlignment="1">
      <alignment horizontal="right" vertical="center" wrapText="1" readingOrder="1"/>
    </xf>
    <xf numFmtId="0" fontId="7" fillId="3" borderId="27" xfId="0" applyFont="1" applyFill="1" applyBorder="1" applyAlignment="1">
      <alignment vertical="center" wrapText="1" readingOrder="1"/>
    </xf>
    <xf numFmtId="3" fontId="4" fillId="3" borderId="28" xfId="0" applyNumberFormat="1" applyFont="1" applyFill="1" applyBorder="1" applyAlignment="1">
      <alignment horizontal="right" vertical="center" wrapText="1" readingOrder="1"/>
    </xf>
    <xf numFmtId="3" fontId="4" fillId="3" borderId="29" xfId="0" applyNumberFormat="1" applyFont="1" applyFill="1" applyBorder="1" applyAlignment="1">
      <alignment horizontal="right" vertical="center" wrapText="1" readingOrder="1"/>
    </xf>
    <xf numFmtId="3" fontId="4" fillId="3" borderId="30" xfId="0" applyNumberFormat="1" applyFont="1" applyFill="1" applyBorder="1" applyAlignment="1">
      <alignment horizontal="right" vertical="center" wrapText="1" readingOrder="1"/>
    </xf>
    <xf numFmtId="0" fontId="7" fillId="2" borderId="31" xfId="0" applyFont="1" applyFill="1" applyBorder="1" applyAlignment="1">
      <alignment vertical="center" wrapText="1" readingOrder="1"/>
    </xf>
    <xf numFmtId="38" fontId="8" fillId="2" borderId="23" xfId="1" applyFont="1" applyFill="1" applyBorder="1" applyAlignment="1">
      <alignment horizontal="right" vertical="center" wrapText="1"/>
    </xf>
    <xf numFmtId="0" fontId="8" fillId="2" borderId="24" xfId="0" applyFont="1" applyFill="1" applyBorder="1" applyAlignment="1">
      <alignment horizontal="right" vertical="center" wrapText="1"/>
    </xf>
    <xf numFmtId="0" fontId="9" fillId="2" borderId="25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right" vertical="center" wrapText="1" readingOrder="1"/>
    </xf>
    <xf numFmtId="0" fontId="4" fillId="2" borderId="8" xfId="0" applyFont="1" applyFill="1" applyBorder="1" applyAlignment="1">
      <alignment horizontal="right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4" fillId="2" borderId="29" xfId="0" applyFont="1" applyFill="1" applyBorder="1" applyAlignment="1">
      <alignment horizontal="center" vertical="center" wrapText="1" readingOrder="1"/>
    </xf>
    <xf numFmtId="2" fontId="8" fillId="0" borderId="1" xfId="2" applyNumberFormat="1" applyBorder="1">
      <alignment vertical="center"/>
    </xf>
    <xf numFmtId="2" fontId="8" fillId="0" borderId="2" xfId="2" applyNumberFormat="1" applyBorder="1">
      <alignment vertical="center"/>
    </xf>
    <xf numFmtId="2" fontId="8" fillId="0" borderId="3" xfId="2" applyNumberFormat="1" applyBorder="1">
      <alignment vertical="center"/>
    </xf>
    <xf numFmtId="2" fontId="8" fillId="0" borderId="7" xfId="2" applyNumberFormat="1" applyBorder="1">
      <alignment vertical="center"/>
    </xf>
    <xf numFmtId="2" fontId="8" fillId="0" borderId="8" xfId="2" applyNumberFormat="1" applyBorder="1">
      <alignment vertical="center"/>
    </xf>
    <xf numFmtId="2" fontId="8" fillId="0" borderId="9" xfId="2" applyNumberFormat="1" applyBorder="1">
      <alignment vertical="center"/>
    </xf>
    <xf numFmtId="2" fontId="8" fillId="0" borderId="4" xfId="2" applyNumberFormat="1" applyBorder="1">
      <alignment vertical="center"/>
    </xf>
    <xf numFmtId="2" fontId="8" fillId="0" borderId="5" xfId="2" applyNumberFormat="1" applyBorder="1">
      <alignment vertical="center"/>
    </xf>
    <xf numFmtId="2" fontId="8" fillId="0" borderId="6" xfId="2" applyNumberFormat="1" applyBorder="1">
      <alignment vertical="center"/>
    </xf>
    <xf numFmtId="0" fontId="9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right" vertical="center"/>
    </xf>
    <xf numFmtId="0" fontId="9" fillId="2" borderId="8" xfId="0" applyFont="1" applyFill="1" applyBorder="1">
      <alignment vertical="center"/>
    </xf>
    <xf numFmtId="0" fontId="10" fillId="2" borderId="8" xfId="0" applyFont="1" applyFill="1" applyBorder="1" applyAlignment="1">
      <alignment horizontal="center" vertical="center" wrapText="1" readingOrder="1"/>
    </xf>
    <xf numFmtId="176" fontId="0" fillId="0" borderId="8" xfId="0" applyNumberFormat="1" applyBorder="1" applyAlignment="1">
      <alignment horizontal="right" vertical="center"/>
    </xf>
    <xf numFmtId="0" fontId="0" fillId="2" borderId="11" xfId="0" applyFill="1" applyBorder="1" applyAlignment="1">
      <alignment horizontal="right" vertical="center" wrapText="1"/>
    </xf>
    <xf numFmtId="0" fontId="0" fillId="2" borderId="12" xfId="0" applyFill="1" applyBorder="1" applyAlignment="1">
      <alignment horizontal="right" vertical="center" wrapText="1"/>
    </xf>
    <xf numFmtId="0" fontId="0" fillId="3" borderId="13" xfId="0" applyFill="1" applyBorder="1">
      <alignment vertical="center"/>
    </xf>
    <xf numFmtId="38" fontId="0" fillId="3" borderId="14" xfId="1" applyFont="1" applyFill="1" applyBorder="1">
      <alignment vertical="center"/>
    </xf>
    <xf numFmtId="38" fontId="0" fillId="3" borderId="15" xfId="1" applyFont="1" applyFill="1" applyBorder="1">
      <alignment vertical="center"/>
    </xf>
    <xf numFmtId="0" fontId="0" fillId="3" borderId="7" xfId="0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9" xfId="1" applyFont="1" applyFill="1" applyBorder="1">
      <alignment vertical="center"/>
    </xf>
    <xf numFmtId="0" fontId="0" fillId="3" borderId="4" xfId="0" applyFill="1" applyBorder="1">
      <alignment vertical="center"/>
    </xf>
    <xf numFmtId="38" fontId="0" fillId="3" borderId="5" xfId="1" applyFont="1" applyFill="1" applyBorder="1">
      <alignment vertical="center"/>
    </xf>
    <xf numFmtId="38" fontId="0" fillId="3" borderId="6" xfId="1" applyFont="1" applyFill="1" applyBorder="1">
      <alignment vertical="center"/>
    </xf>
    <xf numFmtId="0" fontId="4" fillId="4" borderId="2" xfId="0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center" vertical="center" wrapText="1" readingOrder="1"/>
    </xf>
    <xf numFmtId="0" fontId="4" fillId="4" borderId="13" xfId="0" applyFont="1" applyFill="1" applyBorder="1" applyAlignment="1">
      <alignment horizontal="right" vertical="center" wrapText="1" readingOrder="1"/>
    </xf>
    <xf numFmtId="177" fontId="9" fillId="5" borderId="14" xfId="1" applyNumberFormat="1" applyFont="1" applyFill="1" applyBorder="1" applyAlignment="1">
      <alignment horizontal="right" vertical="center" wrapText="1" readingOrder="1"/>
    </xf>
    <xf numFmtId="40" fontId="9" fillId="5" borderId="14" xfId="1" applyNumberFormat="1" applyFont="1" applyFill="1" applyBorder="1" applyAlignment="1">
      <alignment horizontal="right" vertical="center" wrapText="1" readingOrder="1"/>
    </xf>
    <xf numFmtId="177" fontId="9" fillId="5" borderId="15" xfId="1" applyNumberFormat="1" applyFont="1" applyFill="1" applyBorder="1" applyAlignment="1">
      <alignment horizontal="right" vertical="center" wrapText="1" readingOrder="1"/>
    </xf>
    <xf numFmtId="0" fontId="4" fillId="4" borderId="7" xfId="0" applyFont="1" applyFill="1" applyBorder="1" applyAlignment="1">
      <alignment horizontal="right" vertical="center" wrapText="1" readingOrder="1"/>
    </xf>
    <xf numFmtId="38" fontId="9" fillId="5" borderId="8" xfId="1" applyFont="1" applyFill="1" applyBorder="1" applyAlignment="1">
      <alignment horizontal="right" vertical="center" wrapText="1" readingOrder="1"/>
    </xf>
    <xf numFmtId="177" fontId="9" fillId="5" borderId="8" xfId="1" applyNumberFormat="1" applyFont="1" applyFill="1" applyBorder="1" applyAlignment="1">
      <alignment horizontal="right" vertical="center" wrapText="1" readingOrder="1"/>
    </xf>
    <xf numFmtId="38" fontId="9" fillId="5" borderId="9" xfId="1" applyFont="1" applyFill="1" applyBorder="1" applyAlignment="1">
      <alignment horizontal="right" vertical="center" wrapText="1" readingOrder="1"/>
    </xf>
    <xf numFmtId="0" fontId="4" fillId="4" borderId="4" xfId="0" applyFont="1" applyFill="1" applyBorder="1" applyAlignment="1">
      <alignment horizontal="right" vertical="center" wrapText="1" readingOrder="1"/>
    </xf>
    <xf numFmtId="38" fontId="9" fillId="5" borderId="5" xfId="1" applyFont="1" applyFill="1" applyBorder="1" applyAlignment="1">
      <alignment horizontal="right" vertical="center" wrapText="1" readingOrder="1"/>
    </xf>
    <xf numFmtId="177" fontId="9" fillId="5" borderId="5" xfId="1" applyNumberFormat="1" applyFont="1" applyFill="1" applyBorder="1" applyAlignment="1">
      <alignment horizontal="right" vertical="center" wrapText="1" readingOrder="1"/>
    </xf>
    <xf numFmtId="38" fontId="9" fillId="5" borderId="6" xfId="1" applyFont="1" applyFill="1" applyBorder="1" applyAlignment="1">
      <alignment horizontal="right" vertical="center" wrapText="1" readingOrder="1"/>
    </xf>
    <xf numFmtId="0" fontId="0" fillId="2" borderId="10" xfId="0" applyFill="1" applyBorder="1">
      <alignment vertical="center"/>
    </xf>
    <xf numFmtId="0" fontId="0" fillId="3" borderId="13" xfId="0" applyFill="1" applyBorder="1" applyAlignment="1">
      <alignment horizontal="right" vertical="center"/>
    </xf>
    <xf numFmtId="176" fontId="0" fillId="3" borderId="14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0" fontId="0" fillId="3" borderId="7" xfId="0" applyFill="1" applyBorder="1" applyAlignment="1">
      <alignment horizontal="right" vertical="center"/>
    </xf>
    <xf numFmtId="176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0" fontId="0" fillId="3" borderId="28" xfId="0" applyFill="1" applyBorder="1" applyAlignment="1">
      <alignment horizontal="right" vertical="center"/>
    </xf>
    <xf numFmtId="0" fontId="0" fillId="3" borderId="29" xfId="0" applyFill="1" applyBorder="1">
      <alignment vertical="center"/>
    </xf>
    <xf numFmtId="176" fontId="0" fillId="3" borderId="30" xfId="0" applyNumberFormat="1" applyFill="1" applyBorder="1">
      <alignment vertical="center"/>
    </xf>
    <xf numFmtId="0" fontId="0" fillId="6" borderId="23" xfId="0" applyFill="1" applyBorder="1" applyAlignment="1">
      <alignment horizontal="right" vertical="center"/>
    </xf>
    <xf numFmtId="176" fontId="0" fillId="6" borderId="24" xfId="0" applyNumberFormat="1" applyFill="1" applyBorder="1">
      <alignment vertical="center"/>
    </xf>
    <xf numFmtId="176" fontId="0" fillId="6" borderId="25" xfId="0" applyNumberFormat="1" applyFill="1" applyBorder="1">
      <alignment vertical="center"/>
    </xf>
    <xf numFmtId="0" fontId="9" fillId="3" borderId="38" xfId="3" applyFont="1" applyFill="1" applyBorder="1">
      <alignment vertical="center"/>
    </xf>
    <xf numFmtId="0" fontId="9" fillId="7" borderId="10" xfId="3" applyFont="1" applyFill="1" applyBorder="1">
      <alignment vertical="center"/>
    </xf>
    <xf numFmtId="0" fontId="13" fillId="7" borderId="11" xfId="3" applyFont="1" applyFill="1" applyBorder="1" applyAlignment="1">
      <alignment horizontal="right" vertical="center"/>
    </xf>
    <xf numFmtId="0" fontId="13" fillId="7" borderId="12" xfId="3" applyFont="1" applyFill="1" applyBorder="1" applyAlignment="1">
      <alignment horizontal="right" vertical="center"/>
    </xf>
    <xf numFmtId="0" fontId="9" fillId="7" borderId="13" xfId="3" applyFont="1" applyFill="1" applyBorder="1">
      <alignment vertical="center"/>
    </xf>
    <xf numFmtId="38" fontId="9" fillId="3" borderId="14" xfId="4" applyFont="1" applyFill="1" applyBorder="1">
      <alignment vertical="center"/>
    </xf>
    <xf numFmtId="38" fontId="9" fillId="3" borderId="15" xfId="1" applyFont="1" applyFill="1" applyBorder="1">
      <alignment vertical="center"/>
    </xf>
    <xf numFmtId="0" fontId="9" fillId="7" borderId="7" xfId="3" applyFont="1" applyFill="1" applyBorder="1">
      <alignment vertical="center"/>
    </xf>
    <xf numFmtId="38" fontId="9" fillId="3" borderId="8" xfId="4" applyFont="1" applyFill="1" applyBorder="1">
      <alignment vertical="center"/>
    </xf>
    <xf numFmtId="38" fontId="9" fillId="3" borderId="9" xfId="4" applyFont="1" applyFill="1" applyBorder="1">
      <alignment vertical="center"/>
    </xf>
    <xf numFmtId="38" fontId="9" fillId="3" borderId="9" xfId="1" applyFont="1" applyFill="1" applyBorder="1">
      <alignment vertical="center"/>
    </xf>
    <xf numFmtId="0" fontId="9" fillId="7" borderId="4" xfId="3" applyFont="1" applyFill="1" applyBorder="1">
      <alignment vertical="center"/>
    </xf>
    <xf numFmtId="38" fontId="9" fillId="3" borderId="5" xfId="4" applyFont="1" applyFill="1" applyBorder="1">
      <alignment vertical="center"/>
    </xf>
    <xf numFmtId="38" fontId="9" fillId="3" borderId="6" xfId="4" applyFont="1" applyFill="1" applyBorder="1">
      <alignment vertical="center"/>
    </xf>
    <xf numFmtId="0" fontId="9" fillId="3" borderId="0" xfId="0" applyFont="1" applyFill="1">
      <alignment vertical="center"/>
    </xf>
    <xf numFmtId="38" fontId="9" fillId="3" borderId="0" xfId="4" applyFont="1" applyFill="1" applyBorder="1" applyAlignment="1">
      <alignment horizontal="right" vertical="center"/>
    </xf>
    <xf numFmtId="0" fontId="9" fillId="3" borderId="0" xfId="3" applyFont="1" applyFill="1">
      <alignment vertical="center"/>
    </xf>
    <xf numFmtId="0" fontId="13" fillId="4" borderId="39" xfId="3" applyFont="1" applyFill="1" applyBorder="1" applyAlignment="1">
      <alignment horizontal="right" vertical="center"/>
    </xf>
    <xf numFmtId="0" fontId="13" fillId="4" borderId="40" xfId="3" applyFont="1" applyFill="1" applyBorder="1" applyAlignment="1">
      <alignment horizontal="right" vertical="center"/>
    </xf>
    <xf numFmtId="0" fontId="13" fillId="7" borderId="35" xfId="3" applyFont="1" applyFill="1" applyBorder="1" applyAlignment="1">
      <alignment horizontal="right" vertical="center"/>
    </xf>
    <xf numFmtId="0" fontId="13" fillId="7" borderId="37" xfId="3" applyFont="1" applyFill="1" applyBorder="1" applyAlignment="1">
      <alignment horizontal="right" vertical="center"/>
    </xf>
    <xf numFmtId="38" fontId="9" fillId="3" borderId="41" xfId="4" applyFont="1" applyFill="1" applyBorder="1">
      <alignment vertical="center"/>
    </xf>
    <xf numFmtId="38" fontId="9" fillId="3" borderId="42" xfId="4" applyFont="1" applyFill="1" applyBorder="1">
      <alignment vertical="center"/>
    </xf>
    <xf numFmtId="38" fontId="9" fillId="3" borderId="15" xfId="4" applyFont="1" applyFill="1" applyBorder="1">
      <alignment vertical="center"/>
    </xf>
    <xf numFmtId="0" fontId="9" fillId="7" borderId="28" xfId="3" applyFont="1" applyFill="1" applyBorder="1">
      <alignment vertical="center"/>
    </xf>
    <xf numFmtId="38" fontId="9" fillId="3" borderId="29" xfId="4" applyFont="1" applyFill="1" applyBorder="1">
      <alignment vertical="center"/>
    </xf>
    <xf numFmtId="38" fontId="9" fillId="3" borderId="43" xfId="4" applyFont="1" applyFill="1" applyBorder="1">
      <alignment vertical="center"/>
    </xf>
    <xf numFmtId="38" fontId="9" fillId="3" borderId="30" xfId="4" applyFont="1" applyFill="1" applyBorder="1">
      <alignment vertical="center"/>
    </xf>
    <xf numFmtId="0" fontId="9" fillId="4" borderId="1" xfId="0" applyFont="1" applyFill="1" applyBorder="1" applyAlignment="1">
      <alignment horizontal="right" vertical="center"/>
    </xf>
    <xf numFmtId="177" fontId="9" fillId="7" borderId="2" xfId="4" applyNumberFormat="1" applyFont="1" applyFill="1" applyBorder="1" applyAlignment="1">
      <alignment horizontal="right" vertical="center"/>
    </xf>
    <xf numFmtId="177" fontId="9" fillId="7" borderId="3" xfId="4" applyNumberFormat="1" applyFont="1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40" fontId="0" fillId="7" borderId="5" xfId="1" applyNumberFormat="1" applyFont="1" applyFill="1" applyBorder="1">
      <alignment vertical="center"/>
    </xf>
    <xf numFmtId="40" fontId="0" fillId="7" borderId="6" xfId="1" applyNumberFormat="1" applyFont="1" applyFill="1" applyBorder="1">
      <alignment vertical="center"/>
    </xf>
    <xf numFmtId="0" fontId="8" fillId="8" borderId="2" xfId="6" applyFill="1" applyBorder="1" applyAlignment="1">
      <alignment horizontal="center" vertical="center" wrapText="1"/>
    </xf>
    <xf numFmtId="0" fontId="15" fillId="8" borderId="46" xfId="6" applyFont="1" applyFill="1" applyBorder="1" applyAlignment="1">
      <alignment horizontal="center" vertical="center" wrapText="1"/>
    </xf>
    <xf numFmtId="0" fontId="8" fillId="8" borderId="3" xfId="6" applyFill="1" applyBorder="1" applyAlignment="1">
      <alignment horizontal="center" vertical="center" wrapText="1"/>
    </xf>
    <xf numFmtId="0" fontId="8" fillId="8" borderId="36" xfId="6" applyFill="1" applyBorder="1" applyAlignment="1">
      <alignment horizontal="center" vertical="center" wrapText="1"/>
    </xf>
    <xf numFmtId="0" fontId="8" fillId="8" borderId="48" xfId="6" applyFill="1" applyBorder="1" applyAlignment="1">
      <alignment horizontal="center" vertical="center" wrapText="1"/>
    </xf>
    <xf numFmtId="0" fontId="8" fillId="8" borderId="49" xfId="6" applyFill="1" applyBorder="1" applyAlignment="1">
      <alignment horizontal="center" vertical="center" wrapText="1"/>
    </xf>
    <xf numFmtId="0" fontId="8" fillId="0" borderId="50" xfId="5" applyBorder="1"/>
    <xf numFmtId="0" fontId="8" fillId="0" borderId="14" xfId="5" applyBorder="1" applyAlignment="1">
      <alignment horizontal="center"/>
    </xf>
    <xf numFmtId="38" fontId="8" fillId="0" borderId="14" xfId="7" applyBorder="1" applyAlignment="1"/>
    <xf numFmtId="38" fontId="8" fillId="0" borderId="51" xfId="1" applyFont="1" applyBorder="1" applyAlignment="1"/>
    <xf numFmtId="178" fontId="8" fillId="0" borderId="14" xfId="5" applyNumberFormat="1" applyBorder="1"/>
    <xf numFmtId="178" fontId="8" fillId="0" borderId="15" xfId="5" applyNumberFormat="1" applyBorder="1"/>
    <xf numFmtId="0" fontId="8" fillId="0" borderId="52" xfId="5" applyBorder="1"/>
    <xf numFmtId="0" fontId="8" fillId="0" borderId="8" xfId="5" applyBorder="1" applyAlignment="1">
      <alignment horizontal="center"/>
    </xf>
    <xf numFmtId="38" fontId="8" fillId="0" borderId="8" xfId="7" applyBorder="1" applyAlignment="1"/>
    <xf numFmtId="38" fontId="8" fillId="0" borderId="53" xfId="1" applyFont="1" applyBorder="1" applyAlignment="1"/>
    <xf numFmtId="178" fontId="8" fillId="0" borderId="8" xfId="5" applyNumberFormat="1" applyBorder="1"/>
    <xf numFmtId="178" fontId="8" fillId="0" borderId="9" xfId="5" applyNumberFormat="1" applyBorder="1"/>
    <xf numFmtId="0" fontId="8" fillId="0" borderId="54" xfId="5" applyBorder="1"/>
    <xf numFmtId="0" fontId="8" fillId="0" borderId="5" xfId="5" applyBorder="1" applyAlignment="1">
      <alignment horizontal="center"/>
    </xf>
    <xf numFmtId="38" fontId="8" fillId="0" borderId="5" xfId="7" applyFont="1" applyBorder="1" applyAlignment="1"/>
    <xf numFmtId="38" fontId="8" fillId="0" borderId="55" xfId="1" applyFont="1" applyBorder="1" applyAlignment="1"/>
    <xf numFmtId="178" fontId="8" fillId="0" borderId="5" xfId="5" applyNumberFormat="1" applyBorder="1"/>
    <xf numFmtId="178" fontId="8" fillId="0" borderId="6" xfId="5" applyNumberFormat="1" applyBorder="1"/>
    <xf numFmtId="0" fontId="8" fillId="2" borderId="8" xfId="0" applyFont="1" applyFill="1" applyBorder="1" applyAlignment="1">
      <alignment vertical="top" wrapText="1"/>
    </xf>
    <xf numFmtId="0" fontId="4" fillId="0" borderId="8" xfId="0" applyFont="1" applyBorder="1" applyAlignment="1">
      <alignment horizontal="left" vertical="center" wrapText="1" readingOrder="1"/>
    </xf>
    <xf numFmtId="0" fontId="0" fillId="2" borderId="57" xfId="0" applyFill="1" applyBorder="1" applyAlignment="1">
      <alignment horizontal="right" vertical="center"/>
    </xf>
    <xf numFmtId="0" fontId="0" fillId="2" borderId="48" xfId="0" applyFill="1" applyBorder="1" applyAlignment="1">
      <alignment horizontal="left" vertical="center"/>
    </xf>
    <xf numFmtId="0" fontId="0" fillId="2" borderId="58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36" xfId="0" applyFill="1" applyBorder="1" applyAlignment="1">
      <alignment horizontal="right" vertical="center"/>
    </xf>
    <xf numFmtId="38" fontId="8" fillId="2" borderId="49" xfId="8" applyFont="1" applyFill="1" applyBorder="1" applyAlignment="1">
      <alignment horizontal="right" vertical="center"/>
    </xf>
    <xf numFmtId="0" fontId="0" fillId="0" borderId="13" xfId="0" applyBorder="1">
      <alignment vertical="center"/>
    </xf>
    <xf numFmtId="38" fontId="8" fillId="0" borderId="14" xfId="8" applyBorder="1" applyAlignment="1">
      <alignment horizontal="right" vertical="center"/>
    </xf>
    <xf numFmtId="40" fontId="8" fillId="0" borderId="14" xfId="8" applyNumberFormat="1" applyBorder="1" applyAlignment="1">
      <alignment horizontal="right" vertical="center"/>
    </xf>
    <xf numFmtId="40" fontId="8" fillId="0" borderId="15" xfId="8" applyNumberFormat="1" applyBorder="1" applyAlignment="1">
      <alignment horizontal="right" vertical="center"/>
    </xf>
    <xf numFmtId="0" fontId="0" fillId="0" borderId="7" xfId="0" applyBorder="1">
      <alignment vertical="center"/>
    </xf>
    <xf numFmtId="38" fontId="8" fillId="0" borderId="8" xfId="8" applyBorder="1" applyAlignment="1">
      <alignment horizontal="right" vertical="center"/>
    </xf>
    <xf numFmtId="40" fontId="8" fillId="0" borderId="8" xfId="8" applyNumberFormat="1" applyBorder="1" applyAlignment="1">
      <alignment horizontal="right" vertical="center"/>
    </xf>
    <xf numFmtId="40" fontId="8" fillId="0" borderId="9" xfId="8" applyNumberFormat="1" applyBorder="1" applyAlignment="1">
      <alignment horizontal="right" vertical="center"/>
    </xf>
    <xf numFmtId="38" fontId="8" fillId="0" borderId="8" xfId="8" applyFont="1" applyBorder="1">
      <alignment vertical="center"/>
    </xf>
    <xf numFmtId="40" fontId="8" fillId="0" borderId="9" xfId="8" applyNumberFormat="1" applyFill="1" applyBorder="1" applyAlignment="1">
      <alignment horizontal="right" vertical="center"/>
    </xf>
    <xf numFmtId="40" fontId="8" fillId="0" borderId="9" xfId="8" applyNumberFormat="1" applyFont="1" applyFill="1" applyBorder="1" applyAlignment="1">
      <alignment horizontal="right" vertical="center"/>
    </xf>
    <xf numFmtId="0" fontId="0" fillId="0" borderId="4" xfId="0" applyBorder="1">
      <alignment vertical="center"/>
    </xf>
    <xf numFmtId="38" fontId="8" fillId="0" borderId="5" xfId="8" applyBorder="1" applyAlignment="1">
      <alignment horizontal="right" vertical="center"/>
    </xf>
    <xf numFmtId="38" fontId="8" fillId="0" borderId="5" xfId="8" applyFont="1" applyBorder="1">
      <alignment vertical="center"/>
    </xf>
    <xf numFmtId="40" fontId="8" fillId="0" borderId="5" xfId="8" applyNumberFormat="1" applyBorder="1" applyAlignment="1">
      <alignment horizontal="right" vertical="center"/>
    </xf>
    <xf numFmtId="40" fontId="8" fillId="0" borderId="6" xfId="8" applyNumberFormat="1" applyFont="1" applyFill="1" applyBorder="1" applyAlignment="1">
      <alignment horizontal="right" vertical="center"/>
    </xf>
    <xf numFmtId="0" fontId="4" fillId="7" borderId="2" xfId="0" applyFont="1" applyFill="1" applyBorder="1" applyAlignment="1">
      <alignment horizontal="right" vertical="center" wrapText="1" readingOrder="1"/>
    </xf>
    <xf numFmtId="0" fontId="4" fillId="7" borderId="19" xfId="0" applyFont="1" applyFill="1" applyBorder="1" applyAlignment="1">
      <alignment horizontal="right" vertical="center" wrapText="1" readingOrder="1"/>
    </xf>
    <xf numFmtId="0" fontId="4" fillId="9" borderId="1" xfId="0" applyFont="1" applyFill="1" applyBorder="1" applyAlignment="1">
      <alignment horizontal="right" vertical="center" wrapText="1" readingOrder="1"/>
    </xf>
    <xf numFmtId="0" fontId="4" fillId="9" borderId="3" xfId="0" applyFont="1" applyFill="1" applyBorder="1" applyAlignment="1">
      <alignment horizontal="right" vertical="center" wrapText="1" readingOrder="1"/>
    </xf>
    <xf numFmtId="0" fontId="4" fillId="3" borderId="5" xfId="0" applyFont="1" applyFill="1" applyBorder="1" applyAlignment="1">
      <alignment horizontal="right" vertical="center" wrapText="1" readingOrder="1"/>
    </xf>
    <xf numFmtId="0" fontId="4" fillId="3" borderId="21" xfId="0" applyFont="1" applyFill="1" applyBorder="1" applyAlignment="1">
      <alignment horizontal="right" vertical="center" wrapText="1" readingOrder="1"/>
    </xf>
    <xf numFmtId="176" fontId="0" fillId="3" borderId="4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0" fontId="0" fillId="4" borderId="10" xfId="0" applyFill="1" applyBorder="1" applyAlignment="1">
      <alignment horizontal="right" vertical="center"/>
    </xf>
    <xf numFmtId="56" fontId="0" fillId="4" borderId="11" xfId="0" applyNumberFormat="1" applyFill="1" applyBorder="1" applyAlignment="1">
      <alignment horizontal="right" vertical="center"/>
    </xf>
    <xf numFmtId="56" fontId="0" fillId="4" borderId="12" xfId="0" applyNumberFormat="1" applyFill="1" applyBorder="1" applyAlignment="1">
      <alignment horizontal="right" vertical="center"/>
    </xf>
    <xf numFmtId="0" fontId="0" fillId="7" borderId="13" xfId="0" applyFill="1" applyBorder="1">
      <alignment vertical="center"/>
    </xf>
    <xf numFmtId="2" fontId="0" fillId="3" borderId="14" xfId="0" applyNumberFormat="1" applyFill="1" applyBorder="1">
      <alignment vertical="center"/>
    </xf>
    <xf numFmtId="2" fontId="0" fillId="3" borderId="15" xfId="0" applyNumberFormat="1" applyFill="1" applyBorder="1">
      <alignment vertical="center"/>
    </xf>
    <xf numFmtId="0" fontId="0" fillId="7" borderId="7" xfId="0" applyFill="1" applyBorder="1">
      <alignment vertical="center"/>
    </xf>
    <xf numFmtId="2" fontId="0" fillId="3" borderId="8" xfId="0" applyNumberFormat="1" applyFill="1" applyBorder="1">
      <alignment vertical="center"/>
    </xf>
    <xf numFmtId="2" fontId="0" fillId="3" borderId="9" xfId="0" applyNumberFormat="1" applyFill="1" applyBorder="1">
      <alignment vertical="center"/>
    </xf>
    <xf numFmtId="0" fontId="0" fillId="7" borderId="28" xfId="0" applyFill="1" applyBorder="1">
      <alignment vertical="center"/>
    </xf>
    <xf numFmtId="2" fontId="0" fillId="3" borderId="29" xfId="0" applyNumberFormat="1" applyFill="1" applyBorder="1">
      <alignment vertical="center"/>
    </xf>
    <xf numFmtId="2" fontId="0" fillId="3" borderId="30" xfId="0" applyNumberFormat="1" applyFill="1" applyBorder="1">
      <alignment vertical="center"/>
    </xf>
    <xf numFmtId="0" fontId="0" fillId="5" borderId="1" xfId="0" applyFill="1" applyBorder="1">
      <alignment vertical="center"/>
    </xf>
    <xf numFmtId="2" fontId="0" fillId="5" borderId="2" xfId="0" applyNumberFormat="1" applyFill="1" applyBorder="1">
      <alignment vertical="center"/>
    </xf>
    <xf numFmtId="2" fontId="0" fillId="5" borderId="3" xfId="0" applyNumberFormat="1" applyFill="1" applyBorder="1">
      <alignment vertical="center"/>
    </xf>
    <xf numFmtId="0" fontId="0" fillId="5" borderId="28" xfId="0" applyFill="1" applyBorder="1">
      <alignment vertical="center"/>
    </xf>
    <xf numFmtId="2" fontId="0" fillId="5" borderId="29" xfId="0" applyNumberFormat="1" applyFill="1" applyBorder="1">
      <alignment vertical="center"/>
    </xf>
    <xf numFmtId="2" fontId="0" fillId="5" borderId="30" xfId="0" applyNumberFormat="1" applyFill="1" applyBorder="1">
      <alignment vertical="center"/>
    </xf>
    <xf numFmtId="0" fontId="0" fillId="9" borderId="23" xfId="0" applyFill="1" applyBorder="1">
      <alignment vertical="center"/>
    </xf>
    <xf numFmtId="0" fontId="0" fillId="9" borderId="13" xfId="0" applyFill="1" applyBorder="1">
      <alignment vertical="center"/>
    </xf>
    <xf numFmtId="0" fontId="0" fillId="9" borderId="7" xfId="0" applyFill="1" applyBorder="1">
      <alignment vertical="center"/>
    </xf>
    <xf numFmtId="0" fontId="0" fillId="9" borderId="4" xfId="0" applyFill="1" applyBorder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 applyAlignment="1">
      <alignment horizontal="right" vertical="center"/>
    </xf>
    <xf numFmtId="0" fontId="0" fillId="5" borderId="8" xfId="0" applyFill="1" applyBorder="1" applyAlignment="1">
      <alignment horizontal="center" vertical="center"/>
    </xf>
    <xf numFmtId="176" fontId="0" fillId="5" borderId="8" xfId="0" applyNumberFormat="1" applyFill="1" applyBorder="1">
      <alignment vertical="center"/>
    </xf>
    <xf numFmtId="176" fontId="0" fillId="9" borderId="8" xfId="0" applyNumberFormat="1" applyFill="1" applyBorder="1">
      <alignment vertical="center"/>
    </xf>
    <xf numFmtId="0" fontId="0" fillId="7" borderId="8" xfId="0" applyFill="1" applyBorder="1" applyAlignment="1">
      <alignment horizontal="right" vertical="center"/>
    </xf>
    <xf numFmtId="0" fontId="0" fillId="5" borderId="8" xfId="0" applyFill="1" applyBorder="1">
      <alignment vertical="center"/>
    </xf>
    <xf numFmtId="0" fontId="8" fillId="7" borderId="8" xfId="0" applyFont="1" applyFill="1" applyBorder="1" applyAlignment="1">
      <alignment horizontal="center" vertical="top" wrapText="1"/>
    </xf>
    <xf numFmtId="0" fontId="10" fillId="7" borderId="8" xfId="0" applyFont="1" applyFill="1" applyBorder="1" applyAlignment="1">
      <alignment horizontal="center" vertical="center" wrapText="1" readingOrder="1"/>
    </xf>
    <xf numFmtId="0" fontId="0" fillId="3" borderId="0" xfId="0" applyFill="1">
      <alignment vertical="center"/>
    </xf>
    <xf numFmtId="0" fontId="0" fillId="3" borderId="14" xfId="0" applyFill="1" applyBorder="1">
      <alignment vertical="center"/>
    </xf>
    <xf numFmtId="0" fontId="0" fillId="7" borderId="8" xfId="0" applyFill="1" applyBorder="1">
      <alignment vertical="center"/>
    </xf>
    <xf numFmtId="0" fontId="0" fillId="5" borderId="8" xfId="0" applyFill="1" applyBorder="1" applyAlignment="1">
      <alignment horizontal="center" vertical="center"/>
    </xf>
    <xf numFmtId="176" fontId="0" fillId="5" borderId="8" xfId="0" applyNumberFormat="1" applyFill="1" applyBorder="1">
      <alignment vertical="center"/>
    </xf>
    <xf numFmtId="0" fontId="0" fillId="7" borderId="8" xfId="0" applyFill="1" applyBorder="1" applyAlignment="1">
      <alignment horizontal="right" vertical="center"/>
    </xf>
    <xf numFmtId="0" fontId="0" fillId="9" borderId="8" xfId="0" applyFill="1" applyBorder="1">
      <alignment vertical="center"/>
    </xf>
    <xf numFmtId="0" fontId="0" fillId="5" borderId="8" xfId="0" applyFill="1" applyBorder="1">
      <alignment vertical="center"/>
    </xf>
    <xf numFmtId="0" fontId="0" fillId="7" borderId="8" xfId="0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wrapText="1" readingOrder="1"/>
    </xf>
    <xf numFmtId="0" fontId="8" fillId="5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wrapText="1" readingOrder="1"/>
    </xf>
    <xf numFmtId="0" fontId="8" fillId="9" borderId="8" xfId="0" applyFont="1" applyFill="1" applyBorder="1" applyAlignment="1">
      <alignment horizontal="right" vertical="center" wrapText="1"/>
    </xf>
    <xf numFmtId="176" fontId="8" fillId="5" borderId="8" xfId="0" applyNumberFormat="1" applyFont="1" applyFill="1" applyBorder="1" applyAlignment="1">
      <alignment horizontal="right" vertical="center" wrapText="1"/>
    </xf>
    <xf numFmtId="2" fontId="8" fillId="9" borderId="8" xfId="0" applyNumberFormat="1" applyFont="1" applyFill="1" applyBorder="1" applyAlignment="1">
      <alignment horizontal="right" vertical="center" wrapText="1"/>
    </xf>
    <xf numFmtId="0" fontId="8" fillId="7" borderId="8" xfId="2" applyFill="1" applyBorder="1" applyAlignment="1">
      <alignment horizontal="center" vertical="center"/>
    </xf>
    <xf numFmtId="0" fontId="8" fillId="7" borderId="8" xfId="2" applyFill="1" applyBorder="1">
      <alignment vertical="center"/>
    </xf>
    <xf numFmtId="2" fontId="8" fillId="5" borderId="8" xfId="2" applyNumberFormat="1" applyFill="1" applyBorder="1" applyAlignment="1">
      <alignment horizontal="right" vertical="center"/>
    </xf>
    <xf numFmtId="180" fontId="8" fillId="7" borderId="8" xfId="2" applyNumberFormat="1" applyFill="1" applyBorder="1">
      <alignment vertical="center"/>
    </xf>
    <xf numFmtId="2" fontId="8" fillId="3" borderId="8" xfId="2" applyNumberFormat="1" applyFill="1" applyBorder="1" applyAlignment="1">
      <alignment horizontal="right" vertical="center"/>
    </xf>
    <xf numFmtId="0" fontId="8" fillId="4" borderId="8" xfId="2" applyFill="1" applyBorder="1" applyAlignment="1">
      <alignment horizontal="right" vertical="center"/>
    </xf>
    <xf numFmtId="0" fontId="8" fillId="9" borderId="8" xfId="2" applyFill="1" applyBorder="1">
      <alignment vertical="center"/>
    </xf>
    <xf numFmtId="2" fontId="8" fillId="9" borderId="8" xfId="2" applyNumberFormat="1" applyFill="1" applyBorder="1">
      <alignment vertical="center"/>
    </xf>
    <xf numFmtId="179" fontId="8" fillId="9" borderId="8" xfId="2" applyNumberFormat="1" applyFill="1" applyBorder="1">
      <alignment vertical="center"/>
    </xf>
    <xf numFmtId="176" fontId="0" fillId="5" borderId="8" xfId="0" applyNumberFormat="1" applyFill="1" applyBorder="1" applyAlignment="1">
      <alignment horizontal="right" vertical="center"/>
    </xf>
    <xf numFmtId="176" fontId="0" fillId="3" borderId="43" xfId="0" applyNumberFormat="1" applyFill="1" applyBorder="1">
      <alignment vertical="center"/>
    </xf>
    <xf numFmtId="0" fontId="9" fillId="0" borderId="0" xfId="0" applyFont="1" applyBorder="1">
      <alignment vertical="center"/>
    </xf>
    <xf numFmtId="0" fontId="4" fillId="0" borderId="8" xfId="0" applyFont="1" applyFill="1" applyBorder="1" applyAlignment="1">
      <alignment horizontal="right" vertical="center" wrapText="1" readingOrder="1"/>
    </xf>
    <xf numFmtId="0" fontId="8" fillId="4" borderId="43" xfId="2" applyFill="1" applyBorder="1">
      <alignment vertical="center"/>
    </xf>
    <xf numFmtId="0" fontId="8" fillId="4" borderId="8" xfId="2" applyFill="1" applyBorder="1" applyAlignment="1">
      <alignment horizontal="center"/>
    </xf>
    <xf numFmtId="0" fontId="8" fillId="4" borderId="42" xfId="2" applyFill="1" applyBorder="1" applyAlignment="1">
      <alignment horizontal="center"/>
    </xf>
    <xf numFmtId="0" fontId="8" fillId="9" borderId="8" xfId="2" applyFill="1" applyBorder="1" applyAlignment="1">
      <alignment horizontal="center"/>
    </xf>
    <xf numFmtId="0" fontId="8" fillId="4" borderId="60" xfId="2" applyFill="1" applyBorder="1" applyAlignment="1">
      <alignment horizontal="right" vertical="center"/>
    </xf>
    <xf numFmtId="0" fontId="16" fillId="4" borderId="36" xfId="2" applyFont="1" applyFill="1" applyBorder="1" applyAlignment="1">
      <alignment horizontal="center"/>
    </xf>
    <xf numFmtId="0" fontId="16" fillId="4" borderId="57" xfId="2" applyFont="1" applyFill="1" applyBorder="1" applyAlignment="1">
      <alignment horizontal="center"/>
    </xf>
    <xf numFmtId="0" fontId="8" fillId="9" borderId="36" xfId="2" applyFill="1" applyBorder="1" applyAlignment="1">
      <alignment horizontal="right" vertical="center"/>
    </xf>
    <xf numFmtId="0" fontId="8" fillId="7" borderId="14" xfId="2" applyFill="1" applyBorder="1">
      <alignment vertical="center"/>
    </xf>
    <xf numFmtId="0" fontId="8" fillId="7" borderId="14" xfId="2" applyFill="1" applyBorder="1" applyAlignment="1">
      <alignment horizontal="center"/>
    </xf>
    <xf numFmtId="0" fontId="8" fillId="7" borderId="41" xfId="2" applyFill="1" applyBorder="1" applyAlignment="1">
      <alignment horizontal="center" vertical="center"/>
    </xf>
    <xf numFmtId="180" fontId="8" fillId="5" borderId="14" xfId="2" applyNumberFormat="1" applyFill="1" applyBorder="1">
      <alignment vertical="center"/>
    </xf>
    <xf numFmtId="0" fontId="8" fillId="7" borderId="8" xfId="2" applyFill="1" applyBorder="1" applyAlignment="1">
      <alignment horizontal="center"/>
    </xf>
    <xf numFmtId="0" fontId="8" fillId="7" borderId="42" xfId="2" applyFill="1" applyBorder="1" applyAlignment="1">
      <alignment horizontal="center" vertical="center"/>
    </xf>
    <xf numFmtId="180" fontId="8" fillId="5" borderId="8" xfId="2" applyNumberFormat="1" applyFill="1" applyBorder="1">
      <alignment vertical="center"/>
    </xf>
    <xf numFmtId="0" fontId="8" fillId="3" borderId="14" xfId="2" applyFill="1" applyBorder="1" applyAlignment="1">
      <alignment horizontal="center"/>
    </xf>
    <xf numFmtId="0" fontId="8" fillId="3" borderId="14" xfId="2" applyFill="1" applyBorder="1">
      <alignment vertical="center"/>
    </xf>
    <xf numFmtId="0" fontId="8" fillId="3" borderId="41" xfId="2" applyFill="1" applyBorder="1">
      <alignment vertical="center"/>
    </xf>
    <xf numFmtId="0" fontId="8" fillId="3" borderId="8" xfId="2" applyFill="1" applyBorder="1" applyAlignment="1">
      <alignment horizontal="center"/>
    </xf>
    <xf numFmtId="0" fontId="8" fillId="3" borderId="8" xfId="2" applyFill="1" applyBorder="1">
      <alignment vertical="center"/>
    </xf>
    <xf numFmtId="0" fontId="8" fillId="3" borderId="42" xfId="2" applyFill="1" applyBorder="1">
      <alignment vertical="center"/>
    </xf>
    <xf numFmtId="0" fontId="0" fillId="0" borderId="8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 readingOrder="1"/>
    </xf>
    <xf numFmtId="0" fontId="0" fillId="3" borderId="23" xfId="0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3" borderId="25" xfId="0" applyNumberFormat="1" applyFill="1" applyBorder="1">
      <alignment vertical="center"/>
    </xf>
    <xf numFmtId="177" fontId="0" fillId="0" borderId="62" xfId="1" applyNumberFormat="1" applyFont="1" applyBorder="1">
      <alignment vertical="center"/>
    </xf>
    <xf numFmtId="176" fontId="0" fillId="3" borderId="3" xfId="0" applyNumberFormat="1" applyFill="1" applyBorder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7" borderId="5" xfId="0" applyFill="1" applyBorder="1">
      <alignment vertical="center"/>
    </xf>
    <xf numFmtId="2" fontId="0" fillId="7" borderId="6" xfId="0" applyNumberFormat="1" applyFill="1" applyBorder="1">
      <alignment vertical="center"/>
    </xf>
    <xf numFmtId="0" fontId="0" fillId="7" borderId="23" xfId="0" applyFill="1" applyBorder="1">
      <alignment vertical="center"/>
    </xf>
    <xf numFmtId="0" fontId="5" fillId="7" borderId="23" xfId="0" applyFont="1" applyFill="1" applyBorder="1">
      <alignment vertical="center"/>
    </xf>
    <xf numFmtId="1" fontId="0" fillId="3" borderId="25" xfId="0" applyNumberFormat="1" applyFill="1" applyBorder="1">
      <alignment vertical="center"/>
    </xf>
    <xf numFmtId="0" fontId="17" fillId="7" borderId="23" xfId="0" applyFont="1" applyFill="1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20" xfId="0" applyFill="1" applyBorder="1">
      <alignment vertical="center"/>
    </xf>
    <xf numFmtId="0" fontId="5" fillId="7" borderId="7" xfId="0" applyFont="1" applyFill="1" applyBorder="1" applyAlignment="1">
      <alignment horizontal="center" vertical="center"/>
    </xf>
    <xf numFmtId="0" fontId="0" fillId="3" borderId="42" xfId="0" applyFill="1" applyBorder="1">
      <alignment vertical="center"/>
    </xf>
    <xf numFmtId="0" fontId="0" fillId="3" borderId="65" xfId="0" applyFill="1" applyBorder="1">
      <alignment vertical="center"/>
    </xf>
    <xf numFmtId="0" fontId="5" fillId="7" borderId="4" xfId="0" applyFont="1" applyFill="1" applyBorder="1" applyAlignment="1">
      <alignment horizontal="center" vertical="center"/>
    </xf>
    <xf numFmtId="0" fontId="0" fillId="2" borderId="32" xfId="0" applyFill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66" xfId="0" applyNumberFormat="1" applyFill="1" applyBorder="1">
      <alignment vertical="center"/>
    </xf>
    <xf numFmtId="176" fontId="0" fillId="3" borderId="64" xfId="0" applyNumberFormat="1" applyFill="1" applyBorder="1">
      <alignment vertical="center"/>
    </xf>
    <xf numFmtId="0" fontId="0" fillId="2" borderId="1" xfId="0" applyFill="1" applyBorder="1">
      <alignment vertical="center"/>
    </xf>
    <xf numFmtId="178" fontId="0" fillId="3" borderId="2" xfId="0" applyNumberFormat="1" applyFill="1" applyBorder="1">
      <alignment vertical="center"/>
    </xf>
    <xf numFmtId="178" fontId="0" fillId="3" borderId="19" xfId="0" applyNumberFormat="1" applyFill="1" applyBorder="1">
      <alignment vertical="center"/>
    </xf>
    <xf numFmtId="178" fontId="0" fillId="3" borderId="20" xfId="0" applyNumberFormat="1" applyFill="1" applyBorder="1">
      <alignment vertical="center"/>
    </xf>
    <xf numFmtId="181" fontId="0" fillId="3" borderId="8" xfId="0" applyNumberFormat="1" applyFill="1" applyBorder="1">
      <alignment vertical="center"/>
    </xf>
    <xf numFmtId="181" fontId="0" fillId="3" borderId="42" xfId="0" applyNumberFormat="1" applyFill="1" applyBorder="1">
      <alignment vertical="center"/>
    </xf>
    <xf numFmtId="178" fontId="0" fillId="3" borderId="65" xfId="0" applyNumberFormat="1" applyFill="1" applyBorder="1">
      <alignment vertical="center"/>
    </xf>
    <xf numFmtId="2" fontId="0" fillId="3" borderId="5" xfId="0" applyNumberFormat="1" applyFill="1" applyBorder="1">
      <alignment vertical="center"/>
    </xf>
    <xf numFmtId="2" fontId="0" fillId="3" borderId="21" xfId="0" applyNumberFormat="1" applyFill="1" applyBorder="1">
      <alignment vertical="center"/>
    </xf>
    <xf numFmtId="178" fontId="0" fillId="3" borderId="22" xfId="0" applyNumberForma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42" xfId="0" applyFill="1" applyBorder="1">
      <alignment vertical="center"/>
    </xf>
    <xf numFmtId="0" fontId="5" fillId="2" borderId="3" xfId="0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0" borderId="9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0" fillId="3" borderId="8" xfId="0" applyFill="1" applyBorder="1" applyAlignment="1">
      <alignment horizontal="left" vertical="center"/>
    </xf>
    <xf numFmtId="178" fontId="0" fillId="3" borderId="29" xfId="0" applyNumberFormat="1" applyFill="1" applyBorder="1">
      <alignment vertical="center"/>
    </xf>
    <xf numFmtId="176" fontId="0" fillId="3" borderId="29" xfId="0" applyNumberFormat="1" applyFill="1" applyBorder="1">
      <alignment vertical="center"/>
    </xf>
    <xf numFmtId="0" fontId="0" fillId="7" borderId="24" xfId="0" applyFill="1" applyBorder="1">
      <alignment vertical="center"/>
    </xf>
    <xf numFmtId="2" fontId="0" fillId="7" borderId="24" xfId="0" applyNumberFormat="1" applyFill="1" applyBorder="1">
      <alignment vertical="center"/>
    </xf>
    <xf numFmtId="176" fontId="0" fillId="7" borderId="24" xfId="0" applyNumberFormat="1" applyFill="1" applyBorder="1">
      <alignment vertical="center"/>
    </xf>
    <xf numFmtId="2" fontId="0" fillId="7" borderId="25" xfId="0" applyNumberFormat="1" applyFill="1" applyBorder="1">
      <alignment vertical="center"/>
    </xf>
    <xf numFmtId="2" fontId="0" fillId="3" borderId="25" xfId="0" applyNumberFormat="1" applyFill="1" applyBorder="1">
      <alignment vertical="center"/>
    </xf>
    <xf numFmtId="0" fontId="9" fillId="7" borderId="8" xfId="3" applyFont="1" applyFill="1" applyBorder="1">
      <alignment vertical="center"/>
    </xf>
    <xf numFmtId="0" fontId="9" fillId="7" borderId="8" xfId="3" applyFont="1" applyFill="1" applyBorder="1" applyAlignment="1">
      <alignment horizontal="center" vertical="center"/>
    </xf>
    <xf numFmtId="0" fontId="9" fillId="7" borderId="42" xfId="3" applyFont="1" applyFill="1" applyBorder="1" applyAlignment="1">
      <alignment horizontal="right" vertical="center"/>
    </xf>
    <xf numFmtId="0" fontId="9" fillId="7" borderId="8" xfId="3" applyFont="1" applyFill="1" applyBorder="1" applyAlignment="1">
      <alignment horizontal="right" vertical="center"/>
    </xf>
    <xf numFmtId="0" fontId="9" fillId="5" borderId="42" xfId="3" applyFont="1" applyFill="1" applyBorder="1">
      <alignment vertical="center"/>
    </xf>
    <xf numFmtId="2" fontId="9" fillId="9" borderId="8" xfId="3" applyNumberFormat="1" applyFont="1" applyFill="1" applyBorder="1">
      <alignment vertical="center"/>
    </xf>
    <xf numFmtId="0" fontId="4" fillId="7" borderId="8" xfId="3" applyFont="1" applyFill="1" applyBorder="1" applyAlignment="1">
      <alignment horizontal="right" vertical="center" wrapText="1" readingOrder="1"/>
    </xf>
    <xf numFmtId="0" fontId="4" fillId="7" borderId="8" xfId="3" applyFont="1" applyFill="1" applyBorder="1" applyAlignment="1">
      <alignment horizontal="center" vertical="center" wrapText="1" readingOrder="1"/>
    </xf>
    <xf numFmtId="0" fontId="4" fillId="5" borderId="42" xfId="3" applyFont="1" applyFill="1" applyBorder="1" applyAlignment="1">
      <alignment vertical="center" wrapText="1" readingOrder="1"/>
    </xf>
    <xf numFmtId="0" fontId="9" fillId="9" borderId="8" xfId="3" applyFont="1" applyFill="1" applyBorder="1">
      <alignment vertical="center"/>
    </xf>
    <xf numFmtId="0" fontId="9" fillId="3" borderId="14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9" borderId="14" xfId="3" applyFont="1" applyFill="1" applyBorder="1" applyAlignment="1">
      <alignment horizontal="center" vertical="center"/>
    </xf>
    <xf numFmtId="0" fontId="8" fillId="3" borderId="0" xfId="2" applyFill="1">
      <alignment vertical="center"/>
    </xf>
    <xf numFmtId="0" fontId="8" fillId="10" borderId="1" xfId="2" applyFill="1" applyBorder="1">
      <alignment vertical="center"/>
    </xf>
    <xf numFmtId="0" fontId="8" fillId="0" borderId="3" xfId="2" applyBorder="1">
      <alignment vertical="center"/>
    </xf>
    <xf numFmtId="0" fontId="8" fillId="10" borderId="7" xfId="2" applyFill="1" applyBorder="1">
      <alignment vertical="center"/>
    </xf>
    <xf numFmtId="0" fontId="8" fillId="0" borderId="9" xfId="2" applyBorder="1">
      <alignment vertical="center"/>
    </xf>
    <xf numFmtId="2" fontId="8" fillId="3" borderId="0" xfId="2" applyNumberFormat="1" applyFill="1">
      <alignment vertical="center"/>
    </xf>
    <xf numFmtId="0" fontId="8" fillId="10" borderId="4" xfId="2" applyFill="1" applyBorder="1">
      <alignment vertical="center"/>
    </xf>
    <xf numFmtId="0" fontId="8" fillId="0" borderId="6" xfId="2" applyBorder="1">
      <alignment vertical="center"/>
    </xf>
    <xf numFmtId="0" fontId="8" fillId="2" borderId="10" xfId="2" applyFill="1" applyBorder="1" applyAlignment="1">
      <alignment horizontal="center" vertical="center"/>
    </xf>
    <xf numFmtId="0" fontId="8" fillId="2" borderId="11" xfId="2" applyFill="1" applyBorder="1">
      <alignment vertical="center"/>
    </xf>
    <xf numFmtId="0" fontId="8" fillId="2" borderId="11" xfId="2" applyFill="1" applyBorder="1" applyAlignment="1">
      <alignment horizontal="center" vertical="center"/>
    </xf>
    <xf numFmtId="0" fontId="8" fillId="2" borderId="12" xfId="2" applyFill="1" applyBorder="1" applyAlignment="1">
      <alignment horizontal="center" vertical="center"/>
    </xf>
    <xf numFmtId="0" fontId="20" fillId="3" borderId="0" xfId="2" applyFont="1" applyFill="1">
      <alignment vertical="center"/>
    </xf>
    <xf numFmtId="0" fontId="8" fillId="0" borderId="0" xfId="2">
      <alignment vertical="center"/>
    </xf>
    <xf numFmtId="0" fontId="8" fillId="10" borderId="13" xfId="2" applyFill="1" applyBorder="1">
      <alignment vertical="center"/>
    </xf>
    <xf numFmtId="0" fontId="8" fillId="0" borderId="14" xfId="2" applyBorder="1">
      <alignment vertical="center"/>
    </xf>
    <xf numFmtId="0" fontId="8" fillId="0" borderId="15" xfId="2" applyBorder="1">
      <alignment vertical="center"/>
    </xf>
    <xf numFmtId="0" fontId="21" fillId="3" borderId="0" xfId="2" quotePrefix="1" applyFont="1" applyFill="1">
      <alignment vertical="center"/>
    </xf>
    <xf numFmtId="0" fontId="8" fillId="0" borderId="8" xfId="2" applyBorder="1">
      <alignment vertical="center"/>
    </xf>
    <xf numFmtId="0" fontId="8" fillId="0" borderId="5" xfId="2" applyBorder="1">
      <alignment vertical="center"/>
    </xf>
    <xf numFmtId="178" fontId="0" fillId="0" borderId="8" xfId="0" applyNumberFormat="1" applyBorder="1">
      <alignment vertical="center"/>
    </xf>
    <xf numFmtId="176" fontId="0" fillId="0" borderId="8" xfId="0" applyNumberFormat="1" applyBorder="1">
      <alignment vertical="center"/>
    </xf>
    <xf numFmtId="2" fontId="0" fillId="0" borderId="8" xfId="0" applyNumberFormat="1" applyBorder="1">
      <alignment vertical="center"/>
    </xf>
    <xf numFmtId="0" fontId="8" fillId="4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182" fontId="8" fillId="3" borderId="17" xfId="0" applyNumberFormat="1" applyFont="1" applyFill="1" applyBorder="1" applyAlignment="1">
      <alignment horizontal="right" vertical="center" wrapText="1"/>
    </xf>
    <xf numFmtId="182" fontId="8" fillId="3" borderId="18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vertical="top" wrapText="1"/>
    </xf>
    <xf numFmtId="182" fontId="8" fillId="3" borderId="24" xfId="0" applyNumberFormat="1" applyFont="1" applyFill="1" applyBorder="1" applyAlignment="1">
      <alignment horizontal="right" vertical="center" wrapText="1"/>
    </xf>
    <xf numFmtId="182" fontId="8" fillId="3" borderId="25" xfId="0" applyNumberFormat="1" applyFont="1" applyFill="1" applyBorder="1" applyAlignment="1">
      <alignment horizontal="right" vertical="center" wrapText="1"/>
    </xf>
    <xf numFmtId="0" fontId="0" fillId="2" borderId="39" xfId="0" applyFill="1" applyBorder="1">
      <alignment vertical="center"/>
    </xf>
    <xf numFmtId="0" fontId="0" fillId="2" borderId="74" xfId="0" applyFill="1" applyBorder="1">
      <alignment vertical="center"/>
    </xf>
    <xf numFmtId="0" fontId="0" fillId="2" borderId="39" xfId="0" applyFill="1" applyBorder="1" applyAlignment="1">
      <alignment horizontal="right" vertical="center"/>
    </xf>
    <xf numFmtId="0" fontId="0" fillId="2" borderId="40" xfId="0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0" fontId="0" fillId="2" borderId="60" xfId="0" applyFill="1" applyBorder="1" applyAlignment="1">
      <alignment horizontal="right" vertical="center"/>
    </xf>
    <xf numFmtId="0" fontId="23" fillId="2" borderId="35" xfId="0" applyFont="1" applyFill="1" applyBorder="1">
      <alignment vertical="center"/>
    </xf>
    <xf numFmtId="0" fontId="0" fillId="2" borderId="37" xfId="0" applyFill="1" applyBorder="1" applyAlignment="1">
      <alignment horizontal="right" vertical="center"/>
    </xf>
    <xf numFmtId="176" fontId="0" fillId="3" borderId="41" xfId="0" applyNumberFormat="1" applyFill="1" applyBorder="1">
      <alignment vertical="center"/>
    </xf>
    <xf numFmtId="178" fontId="0" fillId="3" borderId="14" xfId="0" applyNumberFormat="1" applyFill="1" applyBorder="1">
      <alignment vertical="center"/>
    </xf>
    <xf numFmtId="176" fontId="0" fillId="3" borderId="42" xfId="0" applyNumberFormat="1" applyFill="1" applyBorder="1">
      <alignment vertical="center"/>
    </xf>
    <xf numFmtId="178" fontId="0" fillId="3" borderId="8" xfId="0" applyNumberFormat="1" applyFill="1" applyBorder="1">
      <alignment vertical="center"/>
    </xf>
    <xf numFmtId="0" fontId="0" fillId="3" borderId="4" xfId="0" applyFill="1" applyBorder="1" applyAlignment="1">
      <alignment horizontal="right" vertical="center"/>
    </xf>
    <xf numFmtId="176" fontId="0" fillId="3" borderId="21" xfId="0" applyNumberFormat="1" applyFill="1" applyBorder="1">
      <alignment vertical="center"/>
    </xf>
    <xf numFmtId="178" fontId="0" fillId="3" borderId="5" xfId="0" applyNumberFormat="1" applyFill="1" applyBorder="1">
      <alignment vertical="center"/>
    </xf>
    <xf numFmtId="0" fontId="0" fillId="11" borderId="2" xfId="0" applyFill="1" applyBorder="1">
      <alignment vertical="center"/>
    </xf>
    <xf numFmtId="0" fontId="0" fillId="11" borderId="3" xfId="0" applyFill="1" applyBorder="1">
      <alignment vertical="center"/>
    </xf>
    <xf numFmtId="0" fontId="0" fillId="11" borderId="5" xfId="0" applyFill="1" applyBorder="1">
      <alignment vertical="center"/>
    </xf>
    <xf numFmtId="0" fontId="0" fillId="11" borderId="6" xfId="0" applyFill="1" applyBorder="1">
      <alignment vertical="center"/>
    </xf>
    <xf numFmtId="0" fontId="17" fillId="2" borderId="35" xfId="0" applyFont="1" applyFill="1" applyBorder="1" applyAlignment="1">
      <alignment horizontal="right" vertical="center"/>
    </xf>
    <xf numFmtId="2" fontId="0" fillId="3" borderId="15" xfId="0" applyNumberFormat="1" applyFill="1" applyBorder="1" applyAlignment="1">
      <alignment horizontal="right" vertical="center"/>
    </xf>
    <xf numFmtId="2" fontId="0" fillId="3" borderId="9" xfId="0" applyNumberFormat="1" applyFill="1" applyBorder="1" applyAlignment="1">
      <alignment horizontal="right" vertical="center"/>
    </xf>
    <xf numFmtId="2" fontId="0" fillId="3" borderId="30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176" fontId="0" fillId="6" borderId="2" xfId="0" applyNumberFormat="1" applyFill="1" applyBorder="1">
      <alignment vertical="center"/>
    </xf>
    <xf numFmtId="2" fontId="0" fillId="6" borderId="2" xfId="0" applyNumberFormat="1" applyFill="1" applyBorder="1">
      <alignment vertical="center"/>
    </xf>
    <xf numFmtId="2" fontId="0" fillId="6" borderId="3" xfId="0" applyNumberFormat="1" applyFill="1" applyBorder="1" applyAlignment="1">
      <alignment horizontal="right" vertical="center"/>
    </xf>
    <xf numFmtId="0" fontId="0" fillId="6" borderId="4" xfId="0" applyFill="1" applyBorder="1" applyAlignment="1">
      <alignment horizontal="right" vertical="center"/>
    </xf>
    <xf numFmtId="2" fontId="0" fillId="6" borderId="5" xfId="0" applyNumberFormat="1" applyFill="1" applyBorder="1">
      <alignment vertical="center"/>
    </xf>
    <xf numFmtId="2" fontId="0" fillId="6" borderId="6" xfId="0" applyNumberFormat="1" applyFill="1" applyBorder="1">
      <alignment vertical="center"/>
    </xf>
    <xf numFmtId="0" fontId="0" fillId="0" borderId="0" xfId="0">
      <alignment vertical="center"/>
    </xf>
    <xf numFmtId="0" fontId="4" fillId="2" borderId="8" xfId="0" applyFont="1" applyFill="1" applyBorder="1" applyAlignment="1">
      <alignment horizontal="right" vertical="center" wrapText="1" readingOrder="1"/>
    </xf>
    <xf numFmtId="179" fontId="0" fillId="0" borderId="8" xfId="0" applyNumberFormat="1" applyBorder="1">
      <alignment vertical="center"/>
    </xf>
    <xf numFmtId="183" fontId="0" fillId="0" borderId="8" xfId="0" applyNumberFormat="1" applyBorder="1">
      <alignment vertical="center"/>
    </xf>
    <xf numFmtId="2" fontId="0" fillId="0" borderId="8" xfId="0" applyNumberFormat="1" applyBorder="1">
      <alignment vertical="center"/>
    </xf>
    <xf numFmtId="176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0" borderId="62" xfId="0" applyBorder="1" applyAlignment="1">
      <alignment horizontal="right" vertical="center"/>
    </xf>
    <xf numFmtId="0" fontId="0" fillId="0" borderId="69" xfId="0" applyBorder="1" applyAlignment="1">
      <alignment horizontal="right" vertical="center"/>
    </xf>
    <xf numFmtId="0" fontId="0" fillId="3" borderId="13" xfId="0" applyFill="1" applyBorder="1">
      <alignment vertical="center"/>
    </xf>
    <xf numFmtId="176" fontId="0" fillId="3" borderId="14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0" fillId="5" borderId="69" xfId="0" applyNumberFormat="1" applyFill="1" applyBorder="1">
      <alignment vertical="center"/>
    </xf>
    <xf numFmtId="0" fontId="0" fillId="3" borderId="7" xfId="0" applyFill="1" applyBorder="1">
      <alignment vertical="center"/>
    </xf>
    <xf numFmtId="178" fontId="0" fillId="3" borderId="8" xfId="0" applyNumberFormat="1" applyFill="1" applyBorder="1">
      <alignment vertical="center"/>
    </xf>
    <xf numFmtId="178" fontId="0" fillId="3" borderId="9" xfId="0" applyNumberFormat="1" applyFill="1" applyBorder="1">
      <alignment vertical="center"/>
    </xf>
    <xf numFmtId="181" fontId="0" fillId="3" borderId="8" xfId="0" applyNumberFormat="1" applyFill="1" applyBorder="1">
      <alignment vertical="center"/>
    </xf>
    <xf numFmtId="181" fontId="0" fillId="3" borderId="9" xfId="0" applyNumberFormat="1" applyFill="1" applyBorder="1">
      <alignment vertical="center"/>
    </xf>
    <xf numFmtId="0" fontId="0" fillId="3" borderId="4" xfId="0" applyFill="1" applyBorder="1">
      <alignment vertical="center"/>
    </xf>
    <xf numFmtId="2" fontId="0" fillId="3" borderId="5" xfId="0" applyNumberFormat="1" applyFill="1" applyBorder="1">
      <alignment vertical="center"/>
    </xf>
    <xf numFmtId="2" fontId="0" fillId="3" borderId="6" xfId="0" applyNumberFormat="1" applyFill="1" applyBorder="1">
      <alignment vertical="center"/>
    </xf>
    <xf numFmtId="2" fontId="0" fillId="5" borderId="69" xfId="0" applyNumberFormat="1" applyFill="1" applyBorder="1">
      <alignment vertical="center"/>
    </xf>
    <xf numFmtId="0" fontId="0" fillId="3" borderId="31" xfId="0" applyFill="1" applyBorder="1">
      <alignment vertical="center"/>
    </xf>
    <xf numFmtId="0" fontId="0" fillId="5" borderId="62" xfId="0" applyFill="1" applyBorder="1">
      <alignment vertical="center"/>
    </xf>
    <xf numFmtId="0" fontId="0" fillId="7" borderId="1" xfId="0" applyFill="1" applyBorder="1">
      <alignment vertical="center"/>
    </xf>
    <xf numFmtId="0" fontId="0" fillId="7" borderId="2" xfId="0" applyFill="1" applyBorder="1">
      <alignment vertical="center"/>
    </xf>
    <xf numFmtId="0" fontId="0" fillId="7" borderId="3" xfId="0" applyFill="1" applyBorder="1">
      <alignment vertical="center"/>
    </xf>
    <xf numFmtId="0" fontId="0" fillId="7" borderId="4" xfId="0" applyFill="1" applyBorder="1">
      <alignment vertical="center"/>
    </xf>
    <xf numFmtId="176" fontId="0" fillId="7" borderId="5" xfId="0" applyNumberFormat="1" applyFill="1" applyBorder="1">
      <alignment vertical="center"/>
    </xf>
    <xf numFmtId="176" fontId="0" fillId="7" borderId="6" xfId="0" applyNumberFormat="1" applyFill="1" applyBorder="1">
      <alignment vertical="center"/>
    </xf>
    <xf numFmtId="177" fontId="0" fillId="3" borderId="20" xfId="1" applyNumberFormat="1" applyFont="1" applyFill="1" applyBorder="1">
      <alignment vertical="center"/>
    </xf>
    <xf numFmtId="177" fontId="0" fillId="3" borderId="22" xfId="1" applyNumberFormat="1" applyFont="1" applyFill="1" applyBorder="1">
      <alignment vertical="center"/>
    </xf>
    <xf numFmtId="177" fontId="0" fillId="3" borderId="61" xfId="1" applyNumberFormat="1" applyFont="1" applyFill="1" applyBorder="1">
      <alignment vertical="center"/>
    </xf>
    <xf numFmtId="177" fontId="0" fillId="3" borderId="65" xfId="1" applyNumberFormat="1" applyFon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 readingOrder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>
      <alignment vertical="center"/>
    </xf>
    <xf numFmtId="0" fontId="0" fillId="4" borderId="77" xfId="0" applyFill="1" applyBorder="1">
      <alignment vertical="center"/>
    </xf>
    <xf numFmtId="0" fontId="0" fillId="9" borderId="10" xfId="0" applyFill="1" applyBorder="1" applyAlignment="1">
      <alignment horizontal="right" vertical="center"/>
    </xf>
    <xf numFmtId="0" fontId="0" fillId="9" borderId="12" xfId="0" applyFill="1" applyBorder="1" applyAlignment="1">
      <alignment horizontal="right" vertical="center"/>
    </xf>
    <xf numFmtId="0" fontId="0" fillId="7" borderId="13" xfId="0" applyFill="1" applyBorder="1" applyAlignment="1">
      <alignment horizontal="left" vertical="center"/>
    </xf>
    <xf numFmtId="0" fontId="0" fillId="3" borderId="41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15" xfId="0" applyFill="1" applyBorder="1">
      <alignment vertical="center"/>
    </xf>
    <xf numFmtId="0" fontId="0" fillId="7" borderId="4" xfId="0" applyFill="1" applyBorder="1" applyAlignment="1">
      <alignment horizontal="left" vertical="center"/>
    </xf>
    <xf numFmtId="176" fontId="0" fillId="5" borderId="4" xfId="0" applyNumberFormat="1" applyFill="1" applyBorder="1">
      <alignment vertical="center"/>
    </xf>
    <xf numFmtId="176" fontId="0" fillId="5" borderId="6" xfId="0" applyNumberFormat="1" applyFill="1" applyBorder="1">
      <alignment vertical="center"/>
    </xf>
    <xf numFmtId="0" fontId="0" fillId="5" borderId="3" xfId="0" applyFill="1" applyBorder="1">
      <alignment vertical="center"/>
    </xf>
    <xf numFmtId="178" fontId="0" fillId="3" borderId="21" xfId="0" applyNumberFormat="1" applyFill="1" applyBorder="1">
      <alignment vertical="center"/>
    </xf>
    <xf numFmtId="0" fontId="0" fillId="5" borderId="4" xfId="0" applyFill="1" applyBorder="1">
      <alignment vertical="center"/>
    </xf>
    <xf numFmtId="0" fontId="0" fillId="5" borderId="6" xfId="0" applyFill="1" applyBorder="1">
      <alignment vertical="center"/>
    </xf>
    <xf numFmtId="176" fontId="0" fillId="3" borderId="5" xfId="0" applyNumberFormat="1" applyFill="1" applyBorder="1">
      <alignment vertical="center"/>
    </xf>
    <xf numFmtId="1" fontId="0" fillId="5" borderId="1" xfId="0" applyNumberFormat="1" applyFill="1" applyBorder="1">
      <alignment vertical="center"/>
    </xf>
    <xf numFmtId="1" fontId="0" fillId="5" borderId="3" xfId="0" applyNumberFormat="1" applyFill="1" applyBorder="1">
      <alignment vertical="center"/>
    </xf>
    <xf numFmtId="1" fontId="0" fillId="5" borderId="6" xfId="0" applyNumberFormat="1" applyFill="1" applyBorder="1">
      <alignment vertical="center"/>
    </xf>
    <xf numFmtId="176" fontId="0" fillId="3" borderId="0" xfId="0" applyNumberFormat="1" applyFill="1">
      <alignment vertical="center"/>
    </xf>
    <xf numFmtId="176" fontId="0" fillId="4" borderId="14" xfId="0" applyNumberFormat="1" applyFill="1" applyBorder="1" applyAlignment="1">
      <alignment horizontal="right" vertical="center"/>
    </xf>
    <xf numFmtId="0" fontId="0" fillId="9" borderId="8" xfId="0" applyFill="1" applyBorder="1" applyAlignment="1">
      <alignment horizontal="center" vertical="center"/>
    </xf>
    <xf numFmtId="181" fontId="0" fillId="9" borderId="8" xfId="0" applyNumberFormat="1" applyFill="1" applyBorder="1" applyAlignment="1">
      <alignment horizontal="right" vertical="center"/>
    </xf>
    <xf numFmtId="181" fontId="0" fillId="9" borderId="42" xfId="0" applyNumberFormat="1" applyFill="1" applyBorder="1" applyAlignment="1">
      <alignment horizontal="right" vertical="center"/>
    </xf>
    <xf numFmtId="0" fontId="0" fillId="7" borderId="78" xfId="0" applyFill="1" applyBorder="1" applyAlignment="1">
      <alignment horizontal="right" vertical="center"/>
    </xf>
    <xf numFmtId="0" fontId="0" fillId="7" borderId="14" xfId="0" applyFill="1" applyBorder="1" applyAlignment="1">
      <alignment horizontal="right" vertical="center"/>
    </xf>
    <xf numFmtId="0" fontId="0" fillId="4" borderId="14" xfId="0" applyFill="1" applyBorder="1">
      <alignment vertical="center"/>
    </xf>
    <xf numFmtId="182" fontId="0" fillId="5" borderId="8" xfId="0" applyNumberFormat="1" applyFill="1" applyBorder="1">
      <alignment vertical="center"/>
    </xf>
    <xf numFmtId="179" fontId="0" fillId="5" borderId="8" xfId="0" applyNumberFormat="1" applyFill="1" applyBorder="1">
      <alignment vertical="center"/>
    </xf>
    <xf numFmtId="0" fontId="10" fillId="3" borderId="8" xfId="0" applyFont="1" applyFill="1" applyBorder="1" applyAlignment="1">
      <alignment horizontal="center" vertical="center" wrapText="1" readingOrder="1"/>
    </xf>
    <xf numFmtId="0" fontId="8" fillId="3" borderId="8" xfId="0" applyFont="1" applyFill="1" applyBorder="1" applyAlignment="1">
      <alignment horizontal="right" vertical="center" wrapText="1"/>
    </xf>
    <xf numFmtId="176" fontId="8" fillId="3" borderId="8" xfId="0" applyNumberFormat="1" applyFont="1" applyFill="1" applyBorder="1" applyAlignment="1">
      <alignment horizontal="right" vertical="center" wrapText="1"/>
    </xf>
    <xf numFmtId="0" fontId="0" fillId="3" borderId="42" xfId="0" applyFill="1" applyBorder="1" applyAlignment="1">
      <alignment horizontal="center" vertical="center"/>
    </xf>
    <xf numFmtId="179" fontId="0" fillId="9" borderId="8" xfId="0" applyNumberFormat="1" applyFill="1" applyBorder="1">
      <alignment vertical="center"/>
    </xf>
    <xf numFmtId="1" fontId="8" fillId="7" borderId="8" xfId="2" applyNumberFormat="1" applyFill="1" applyBorder="1">
      <alignment vertical="center"/>
    </xf>
    <xf numFmtId="1" fontId="8" fillId="7" borderId="8" xfId="2" applyNumberFormat="1" applyFill="1" applyBorder="1" applyAlignment="1">
      <alignment horizontal="right" vertical="center"/>
    </xf>
    <xf numFmtId="2" fontId="8" fillId="3" borderId="8" xfId="2" applyNumberFormat="1" applyFill="1" applyBorder="1">
      <alignment vertical="center"/>
    </xf>
    <xf numFmtId="179" fontId="8" fillId="3" borderId="8" xfId="2" applyNumberFormat="1" applyFill="1" applyBorder="1">
      <alignment vertical="center"/>
    </xf>
    <xf numFmtId="179" fontId="0" fillId="3" borderId="8" xfId="0" applyNumberFormat="1" applyFill="1" applyBorder="1">
      <alignment vertical="center"/>
    </xf>
    <xf numFmtId="183" fontId="0" fillId="3" borderId="8" xfId="0" applyNumberFormat="1" applyFill="1" applyBorder="1">
      <alignment vertical="center"/>
    </xf>
    <xf numFmtId="178" fontId="0" fillId="3" borderId="0" xfId="0" applyNumberFormat="1" applyFill="1">
      <alignment vertical="center"/>
    </xf>
    <xf numFmtId="180" fontId="0" fillId="0" borderId="8" xfId="0" applyNumberFormat="1" applyBorder="1">
      <alignment vertical="center"/>
    </xf>
    <xf numFmtId="0" fontId="0" fillId="5" borderId="8" xfId="0" applyFill="1" applyBorder="1" applyAlignment="1">
      <alignment horizontal="right" vertical="center"/>
    </xf>
    <xf numFmtId="181" fontId="0" fillId="3" borderId="0" xfId="0" applyNumberFormat="1" applyFill="1" applyAlignment="1">
      <alignment horizontal="right" vertical="center"/>
    </xf>
    <xf numFmtId="0" fontId="0" fillId="3" borderId="59" xfId="0" applyFill="1" applyBorder="1">
      <alignment vertical="center"/>
    </xf>
    <xf numFmtId="176" fontId="0" fillId="5" borderId="53" xfId="0" applyNumberFormat="1" applyFill="1" applyBorder="1">
      <alignment vertical="center"/>
    </xf>
    <xf numFmtId="177" fontId="0" fillId="3" borderId="8" xfId="1" applyNumberFormat="1" applyFont="1" applyFill="1" applyBorder="1">
      <alignment vertical="center"/>
    </xf>
    <xf numFmtId="177" fontId="0" fillId="3" borderId="8" xfId="0" applyNumberFormat="1" applyFill="1" applyBorder="1">
      <alignment vertical="center"/>
    </xf>
    <xf numFmtId="184" fontId="0" fillId="3" borderId="8" xfId="0" applyNumberFormat="1" applyFill="1" applyBorder="1">
      <alignment vertical="center"/>
    </xf>
    <xf numFmtId="182" fontId="0" fillId="0" borderId="8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185" fontId="0" fillId="3" borderId="8" xfId="0" applyNumberFormat="1" applyFill="1" applyBorder="1">
      <alignment vertical="center"/>
    </xf>
    <xf numFmtId="0" fontId="4" fillId="0" borderId="14" xfId="0" applyFont="1" applyBorder="1" applyAlignment="1">
      <alignment horizontal="center" vertical="center" wrapText="1" readingOrder="1"/>
    </xf>
    <xf numFmtId="177" fontId="0" fillId="3" borderId="14" xfId="0" applyNumberForma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184" fontId="0" fillId="3" borderId="5" xfId="0" applyNumberFormat="1" applyFill="1" applyBorder="1">
      <alignment vertical="center"/>
    </xf>
    <xf numFmtId="0" fontId="4" fillId="3" borderId="8" xfId="0" applyFont="1" applyFill="1" applyBorder="1" applyAlignment="1">
      <alignment horizontal="center" vertical="center" wrapText="1" readingOrder="1"/>
    </xf>
    <xf numFmtId="0" fontId="4" fillId="7" borderId="8" xfId="0" applyFont="1" applyFill="1" applyBorder="1" applyAlignment="1">
      <alignment horizontal="center" vertical="center" wrapText="1" readingOrder="1"/>
    </xf>
    <xf numFmtId="181" fontId="4" fillId="0" borderId="8" xfId="0" applyNumberFormat="1" applyFont="1" applyBorder="1" applyAlignment="1">
      <alignment horizontal="right" vertical="center" wrapText="1" readingOrder="1"/>
    </xf>
    <xf numFmtId="2" fontId="0" fillId="3" borderId="8" xfId="0" applyNumberFormat="1" applyFill="1" applyBorder="1" applyAlignment="1">
      <alignment horizontal="right" vertical="center"/>
    </xf>
    <xf numFmtId="0" fontId="4" fillId="7" borderId="2" xfId="0" applyFont="1" applyFill="1" applyBorder="1" applyAlignment="1">
      <alignment horizontal="center" vertical="center" wrapText="1" readingOrder="1"/>
    </xf>
    <xf numFmtId="0" fontId="4" fillId="7" borderId="3" xfId="0" applyFont="1" applyFill="1" applyBorder="1" applyAlignment="1">
      <alignment horizontal="center" vertical="center" wrapText="1" readingOrder="1"/>
    </xf>
    <xf numFmtId="0" fontId="4" fillId="7" borderId="7" xfId="0" applyFont="1" applyFill="1" applyBorder="1" applyAlignment="1">
      <alignment horizontal="center" vertical="center" wrapText="1" readingOrder="1"/>
    </xf>
    <xf numFmtId="176" fontId="4" fillId="0" borderId="9" xfId="0" applyNumberFormat="1" applyFont="1" applyBorder="1" applyAlignment="1">
      <alignment vertical="center" wrapText="1" readingOrder="1"/>
    </xf>
    <xf numFmtId="0" fontId="0" fillId="7" borderId="7" xfId="0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 readingOrder="1"/>
    </xf>
    <xf numFmtId="2" fontId="0" fillId="3" borderId="5" xfId="0" applyNumberFormat="1" applyFill="1" applyBorder="1" applyAlignment="1">
      <alignment horizontal="right" vertical="center"/>
    </xf>
    <xf numFmtId="176" fontId="4" fillId="0" borderId="6" xfId="0" applyNumberFormat="1" applyFont="1" applyBorder="1" applyAlignment="1">
      <alignment vertical="center" wrapText="1" readingOrder="1"/>
    </xf>
    <xf numFmtId="2" fontId="4" fillId="3" borderId="8" xfId="0" applyNumberFormat="1" applyFont="1" applyFill="1" applyBorder="1" applyAlignment="1">
      <alignment horizontal="right" vertical="center" wrapText="1" readingOrder="1"/>
    </xf>
    <xf numFmtId="0" fontId="4" fillId="3" borderId="8" xfId="0" applyFont="1" applyFill="1" applyBorder="1" applyAlignment="1">
      <alignment horizontal="right" vertical="center" wrapText="1" readingOrder="1"/>
    </xf>
    <xf numFmtId="176" fontId="4" fillId="3" borderId="8" xfId="0" applyNumberFormat="1" applyFont="1" applyFill="1" applyBorder="1" applyAlignment="1">
      <alignment vertical="center" wrapText="1" readingOrder="1"/>
    </xf>
    <xf numFmtId="181" fontId="4" fillId="3" borderId="8" xfId="0" applyNumberFormat="1" applyFont="1" applyFill="1" applyBorder="1" applyAlignment="1">
      <alignment horizontal="right" vertical="center" wrapText="1" readingOrder="1"/>
    </xf>
    <xf numFmtId="0" fontId="4" fillId="0" borderId="7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0" fillId="2" borderId="9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9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 readingOrder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1" applyNumberFormat="1" applyFont="1" applyBorder="1">
      <alignment vertical="center"/>
    </xf>
    <xf numFmtId="176" fontId="0" fillId="0" borderId="9" xfId="0" applyNumberFormat="1" applyBorder="1">
      <alignment vertical="center"/>
    </xf>
    <xf numFmtId="0" fontId="4" fillId="0" borderId="4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right" vertical="center" wrapText="1" readingOrder="1"/>
    </xf>
    <xf numFmtId="184" fontId="0" fillId="0" borderId="5" xfId="0" applyNumberFormat="1" applyBorder="1">
      <alignment vertical="center"/>
    </xf>
    <xf numFmtId="2" fontId="0" fillId="0" borderId="5" xfId="0" applyNumberFormat="1" applyBorder="1">
      <alignment vertical="center"/>
    </xf>
    <xf numFmtId="0" fontId="8" fillId="4" borderId="8" xfId="2" applyFill="1" applyBorder="1">
      <alignment vertical="center"/>
    </xf>
    <xf numFmtId="0" fontId="8" fillId="12" borderId="42" xfId="2" applyFill="1" applyBorder="1" applyAlignment="1">
      <alignment horizontal="center" vertical="center"/>
    </xf>
    <xf numFmtId="0" fontId="8" fillId="12" borderId="8" xfId="2" applyFill="1" applyBorder="1" applyAlignment="1">
      <alignment horizontal="center" vertical="center"/>
    </xf>
    <xf numFmtId="0" fontId="8" fillId="7" borderId="36" xfId="2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5" fillId="4" borderId="8" xfId="2" applyFont="1" applyFill="1" applyBorder="1">
      <alignment vertical="center"/>
    </xf>
    <xf numFmtId="0" fontId="13" fillId="4" borderId="8" xfId="0" applyFont="1" applyFill="1" applyBorder="1" applyAlignment="1">
      <alignment horizontal="center" vertical="center"/>
    </xf>
    <xf numFmtId="2" fontId="0" fillId="3" borderId="0" xfId="0" applyNumberFormat="1" applyFill="1">
      <alignment vertical="center"/>
    </xf>
    <xf numFmtId="182" fontId="0" fillId="3" borderId="8" xfId="0" applyNumberFormat="1" applyFill="1" applyBorder="1">
      <alignment vertical="center"/>
    </xf>
    <xf numFmtId="0" fontId="0" fillId="7" borderId="8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 readingOrder="1"/>
    </xf>
    <xf numFmtId="0" fontId="9" fillId="7" borderId="8" xfId="3" applyFont="1" applyFill="1" applyBorder="1" applyAlignment="1">
      <alignment horizontal="center" vertical="center"/>
    </xf>
    <xf numFmtId="0" fontId="8" fillId="2" borderId="44" xfId="2" applyFill="1" applyBorder="1" applyAlignment="1">
      <alignment horizontal="center" vertical="center"/>
    </xf>
    <xf numFmtId="0" fontId="8" fillId="2" borderId="67" xfId="2" applyFill="1" applyBorder="1" applyAlignment="1">
      <alignment horizontal="center" vertical="center"/>
    </xf>
    <xf numFmtId="0" fontId="8" fillId="2" borderId="68" xfId="2" applyFill="1" applyBorder="1" applyAlignment="1">
      <alignment horizontal="center" vertical="center"/>
    </xf>
    <xf numFmtId="0" fontId="18" fillId="2" borderId="31" xfId="2" applyFont="1" applyFill="1" applyBorder="1" applyAlignment="1">
      <alignment horizontal="center" vertical="center"/>
    </xf>
    <xf numFmtId="0" fontId="18" fillId="2" borderId="69" xfId="2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 readingOrder="1"/>
    </xf>
    <xf numFmtId="0" fontId="4" fillId="4" borderId="37" xfId="0" applyFont="1" applyFill="1" applyBorder="1" applyAlignment="1">
      <alignment horizontal="center" vertical="center" wrapText="1" readingOrder="1"/>
    </xf>
    <xf numFmtId="0" fontId="11" fillId="4" borderId="32" xfId="0" applyFont="1" applyFill="1" applyBorder="1" applyAlignment="1">
      <alignment horizontal="center" vertical="top" wrapText="1"/>
    </xf>
    <xf numFmtId="0" fontId="11" fillId="4" borderId="33" xfId="0" applyFont="1" applyFill="1" applyBorder="1" applyAlignment="1">
      <alignment horizontal="center" vertical="top" wrapText="1"/>
    </xf>
    <xf numFmtId="0" fontId="11" fillId="4" borderId="34" xfId="0" applyFont="1" applyFill="1" applyBorder="1" applyAlignment="1">
      <alignment horizontal="center" vertical="top" wrapText="1"/>
    </xf>
    <xf numFmtId="0" fontId="4" fillId="4" borderId="29" xfId="0" applyFont="1" applyFill="1" applyBorder="1" applyAlignment="1">
      <alignment horizontal="center" vertical="center" wrapText="1" readingOrder="1"/>
    </xf>
    <xf numFmtId="0" fontId="4" fillId="4" borderId="35" xfId="0" applyFont="1" applyFill="1" applyBorder="1" applyAlignment="1">
      <alignment horizontal="center" vertical="center" wrapText="1" readingOrder="1"/>
    </xf>
    <xf numFmtId="0" fontId="4" fillId="4" borderId="8" xfId="0" applyFont="1" applyFill="1" applyBorder="1" applyAlignment="1">
      <alignment horizontal="center" vertical="center" wrapText="1" readingOrder="1"/>
    </xf>
    <xf numFmtId="0" fontId="4" fillId="4" borderId="36" xfId="0" applyFont="1" applyFill="1" applyBorder="1" applyAlignment="1">
      <alignment horizontal="center" vertical="center" wrapText="1" readingOrder="1"/>
    </xf>
    <xf numFmtId="0" fontId="10" fillId="4" borderId="31" xfId="0" applyFont="1" applyFill="1" applyBorder="1" applyAlignment="1">
      <alignment horizontal="left" vertical="center" wrapText="1" readingOrder="1"/>
    </xf>
    <xf numFmtId="0" fontId="10" fillId="4" borderId="73" xfId="0" applyFont="1" applyFill="1" applyBorder="1" applyAlignment="1">
      <alignment horizontal="left" vertical="center" wrapText="1" readingOrder="1"/>
    </xf>
    <xf numFmtId="0" fontId="10" fillId="4" borderId="23" xfId="0" applyFont="1" applyFill="1" applyBorder="1" applyAlignment="1">
      <alignment horizontal="left" vertical="center" wrapText="1" readingOrder="1"/>
    </xf>
    <xf numFmtId="0" fontId="10" fillId="4" borderId="24" xfId="0" applyFont="1" applyFill="1" applyBorder="1" applyAlignment="1">
      <alignment horizontal="left" vertical="center" wrapText="1" readingOrder="1"/>
    </xf>
    <xf numFmtId="0" fontId="10" fillId="4" borderId="16" xfId="0" applyFont="1" applyFill="1" applyBorder="1" applyAlignment="1">
      <alignment horizontal="left" vertical="center" wrapText="1" readingOrder="1"/>
    </xf>
    <xf numFmtId="0" fontId="10" fillId="4" borderId="17" xfId="0" applyFont="1" applyFill="1" applyBorder="1" applyAlignment="1">
      <alignment horizontal="left" vertical="center" wrapText="1" readingOrder="1"/>
    </xf>
    <xf numFmtId="0" fontId="0" fillId="3" borderId="70" xfId="0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top" wrapText="1"/>
    </xf>
    <xf numFmtId="0" fontId="8" fillId="4" borderId="67" xfId="0" applyFont="1" applyFill="1" applyBorder="1" applyAlignment="1">
      <alignment horizontal="center" vertical="top" wrapText="1"/>
    </xf>
    <xf numFmtId="0" fontId="8" fillId="4" borderId="71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8" fillId="4" borderId="47" xfId="0" applyFont="1" applyFill="1" applyBorder="1" applyAlignment="1">
      <alignment horizontal="center" vertical="top" wrapText="1"/>
    </xf>
    <xf numFmtId="0" fontId="8" fillId="4" borderId="72" xfId="0" applyFont="1" applyFill="1" applyBorder="1" applyAlignment="1">
      <alignment horizontal="center" vertical="top" wrapText="1"/>
    </xf>
    <xf numFmtId="0" fontId="0" fillId="2" borderId="3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9" fillId="7" borderId="32" xfId="3" applyFont="1" applyFill="1" applyBorder="1" applyAlignment="1">
      <alignment horizontal="center" vertical="center"/>
    </xf>
    <xf numFmtId="0" fontId="9" fillId="7" borderId="34" xfId="3" applyFont="1" applyFill="1" applyBorder="1" applyAlignment="1">
      <alignment horizontal="center" vertical="center"/>
    </xf>
    <xf numFmtId="0" fontId="8" fillId="8" borderId="44" xfId="5" applyFill="1" applyBorder="1" applyAlignment="1">
      <alignment horizontal="center"/>
    </xf>
    <xf numFmtId="0" fontId="8" fillId="8" borderId="47" xfId="5" applyFill="1" applyBorder="1" applyAlignment="1">
      <alignment horizontal="center"/>
    </xf>
    <xf numFmtId="0" fontId="8" fillId="8" borderId="45" xfId="5" applyFill="1" applyBorder="1" applyAlignment="1">
      <alignment horizontal="center"/>
    </xf>
    <xf numFmtId="0" fontId="8" fillId="8" borderId="35" xfId="5" applyFill="1" applyBorder="1" applyAlignment="1">
      <alignment horizont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3" borderId="75" xfId="0" applyFill="1" applyBorder="1" applyAlignment="1">
      <alignment horizontal="center" vertical="center"/>
    </xf>
    <xf numFmtId="0" fontId="0" fillId="3" borderId="7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2" fontId="0" fillId="9" borderId="24" xfId="0" applyNumberFormat="1" applyFill="1" applyBorder="1" applyAlignment="1">
      <alignment horizontal="center" vertical="center"/>
    </xf>
    <xf numFmtId="2" fontId="0" fillId="9" borderId="25" xfId="0" applyNumberFormat="1" applyFill="1" applyBorder="1" applyAlignment="1">
      <alignment horizontal="center" vertical="center"/>
    </xf>
    <xf numFmtId="2" fontId="0" fillId="9" borderId="14" xfId="0" applyNumberFormat="1" applyFill="1" applyBorder="1" applyAlignment="1">
      <alignment horizontal="center" vertical="center"/>
    </xf>
    <xf numFmtId="2" fontId="0" fillId="9" borderId="15" xfId="0" applyNumberFormat="1" applyFill="1" applyBorder="1" applyAlignment="1">
      <alignment horizontal="center" vertical="center"/>
    </xf>
    <xf numFmtId="2" fontId="0" fillId="9" borderId="8" xfId="0" applyNumberFormat="1" applyFill="1" applyBorder="1" applyAlignment="1">
      <alignment horizontal="center" vertical="center"/>
    </xf>
    <xf numFmtId="2" fontId="0" fillId="9" borderId="9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3" borderId="8" xfId="0" applyFill="1" applyBorder="1" applyAlignment="1">
      <alignment horizontal="right" vertical="center"/>
    </xf>
    <xf numFmtId="0" fontId="0" fillId="5" borderId="8" xfId="0" applyFill="1" applyBorder="1" applyAlignment="1">
      <alignment horizontal="center" vertical="center"/>
    </xf>
    <xf numFmtId="181" fontId="0" fillId="7" borderId="8" xfId="0" applyNumberFormat="1" applyFill="1" applyBorder="1" applyAlignment="1">
      <alignment horizontal="center" vertical="center"/>
    </xf>
    <xf numFmtId="179" fontId="0" fillId="9" borderId="8" xfId="0" applyNumberFormat="1" applyFill="1" applyBorder="1" applyAlignment="1">
      <alignment horizontal="center" vertical="center"/>
    </xf>
    <xf numFmtId="181" fontId="0" fillId="3" borderId="8" xfId="0" applyNumberFormat="1" applyFill="1" applyBorder="1" applyAlignment="1">
      <alignment horizontal="center" vertical="center"/>
    </xf>
    <xf numFmtId="181" fontId="0" fillId="3" borderId="42" xfId="0" applyNumberFormat="1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2" xfId="0" applyFill="1" applyBorder="1" applyAlignment="1">
      <alignment horizontal="left" vertical="center"/>
    </xf>
    <xf numFmtId="181" fontId="0" fillId="5" borderId="8" xfId="0" applyNumberFormat="1" applyFill="1" applyBorder="1" applyAlignment="1">
      <alignment horizontal="center" vertical="center"/>
    </xf>
    <xf numFmtId="181" fontId="0" fillId="9" borderId="8" xfId="0" applyNumberForma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0" fillId="3" borderId="59" xfId="0" applyFill="1" applyBorder="1" applyAlignment="1">
      <alignment horizontal="center" vertical="center"/>
    </xf>
    <xf numFmtId="178" fontId="0" fillId="5" borderId="8" xfId="0" applyNumberFormat="1" applyFill="1" applyBorder="1" applyAlignment="1">
      <alignment horizontal="center" vertical="center"/>
    </xf>
    <xf numFmtId="180" fontId="0" fillId="5" borderId="8" xfId="0" applyNumberFormat="1" applyFill="1" applyBorder="1" applyAlignment="1">
      <alignment horizontal="right" vertical="center"/>
    </xf>
    <xf numFmtId="181" fontId="0" fillId="5" borderId="8" xfId="0" applyNumberFormat="1" applyFill="1" applyBorder="1" applyAlignment="1">
      <alignment horizontal="right" vertical="center"/>
    </xf>
    <xf numFmtId="0" fontId="0" fillId="3" borderId="59" xfId="0" applyFill="1" applyBorder="1" applyAlignment="1">
      <alignment horizontal="right" vertical="center"/>
    </xf>
    <xf numFmtId="38" fontId="0" fillId="5" borderId="42" xfId="1" applyFont="1" applyFill="1" applyBorder="1" applyAlignment="1">
      <alignment horizontal="center" vertical="center"/>
    </xf>
    <xf numFmtId="38" fontId="0" fillId="5" borderId="79" xfId="1" applyFont="1" applyFill="1" applyBorder="1" applyAlignment="1">
      <alignment horizontal="center" vertical="center"/>
    </xf>
    <xf numFmtId="38" fontId="0" fillId="5" borderId="53" xfId="1" applyFont="1" applyFill="1" applyBorder="1" applyAlignment="1">
      <alignment horizontal="center" vertical="center"/>
    </xf>
    <xf numFmtId="176" fontId="0" fillId="3" borderId="42" xfId="0" applyNumberFormat="1" applyFill="1" applyBorder="1" applyAlignment="1">
      <alignment horizontal="right" vertical="center"/>
    </xf>
    <xf numFmtId="176" fontId="0" fillId="3" borderId="53" xfId="0" applyNumberFormat="1" applyFill="1" applyBorder="1" applyAlignment="1">
      <alignment horizontal="right" vertical="center"/>
    </xf>
    <xf numFmtId="0" fontId="0" fillId="7" borderId="29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3" xfId="0" applyFill="1" applyBorder="1" applyAlignment="1">
      <alignment horizontal="left" vertical="center"/>
    </xf>
    <xf numFmtId="0" fontId="0" fillId="7" borderId="42" xfId="0" applyFill="1" applyBorder="1" applyAlignment="1">
      <alignment horizontal="left" vertical="center"/>
    </xf>
    <xf numFmtId="0" fontId="0" fillId="7" borderId="53" xfId="0" applyFill="1" applyBorder="1" applyAlignment="1">
      <alignment horizontal="left" vertical="center"/>
    </xf>
    <xf numFmtId="0" fontId="0" fillId="3" borderId="42" xfId="0" applyFill="1" applyBorder="1" applyAlignment="1">
      <alignment horizontal="right" vertical="center"/>
    </xf>
    <xf numFmtId="0" fontId="0" fillId="3" borderId="53" xfId="0" applyFill="1" applyBorder="1" applyAlignment="1">
      <alignment horizontal="right" vertical="center"/>
    </xf>
    <xf numFmtId="0" fontId="0" fillId="5" borderId="4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181" fontId="0" fillId="5" borderId="42" xfId="0" applyNumberFormat="1" applyFill="1" applyBorder="1" applyAlignment="1">
      <alignment horizontal="center" vertical="center"/>
    </xf>
    <xf numFmtId="181" fontId="0" fillId="5" borderId="53" xfId="0" applyNumberFormat="1" applyFill="1" applyBorder="1" applyAlignment="1">
      <alignment horizontal="center" vertical="center"/>
    </xf>
    <xf numFmtId="181" fontId="0" fillId="3" borderId="53" xfId="0" applyNumberFormat="1" applyFill="1" applyBorder="1" applyAlignment="1">
      <alignment horizontal="center" vertical="center"/>
    </xf>
    <xf numFmtId="181" fontId="0" fillId="9" borderId="42" xfId="0" applyNumberFormat="1" applyFill="1" applyBorder="1" applyAlignment="1">
      <alignment horizontal="center" vertical="center"/>
    </xf>
    <xf numFmtId="181" fontId="0" fillId="9" borderId="53" xfId="0" applyNumberFormat="1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 wrapText="1"/>
    </xf>
    <xf numFmtId="0" fontId="0" fillId="7" borderId="53" xfId="0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wrapText="1" readingOrder="1"/>
    </xf>
    <xf numFmtId="0" fontId="0" fillId="2" borderId="19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4" borderId="8" xfId="2" applyFill="1" applyBorder="1" applyAlignment="1">
      <alignment horizontal="center" vertical="center"/>
    </xf>
    <xf numFmtId="0" fontId="8" fillId="4" borderId="42" xfId="2" applyFill="1" applyBorder="1" applyAlignment="1">
      <alignment horizontal="center" vertical="center"/>
    </xf>
    <xf numFmtId="0" fontId="8" fillId="4" borderId="29" xfId="2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83" fontId="0" fillId="3" borderId="8" xfId="0" applyNumberFormat="1" applyFill="1" applyBorder="1" applyAlignment="1">
      <alignment horizontal="right" vertical="center"/>
    </xf>
    <xf numFmtId="176" fontId="0" fillId="3" borderId="8" xfId="0" applyNumberFormat="1" applyFill="1" applyBorder="1" applyAlignment="1">
      <alignment horizontal="right" vertical="center"/>
    </xf>
    <xf numFmtId="179" fontId="0" fillId="3" borderId="8" xfId="0" applyNumberFormat="1" applyFill="1" applyBorder="1" applyAlignment="1">
      <alignment horizontal="right" vertical="center"/>
    </xf>
    <xf numFmtId="182" fontId="0" fillId="3" borderId="8" xfId="0" applyNumberFormat="1" applyFill="1" applyBorder="1" applyAlignment="1">
      <alignment horizontal="right" vertical="center"/>
    </xf>
    <xf numFmtId="0" fontId="8" fillId="4" borderId="36" xfId="2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8" fillId="7" borderId="8" xfId="2" applyFill="1" applyBorder="1" applyAlignment="1">
      <alignment horizontal="center" vertical="center"/>
    </xf>
    <xf numFmtId="0" fontId="8" fillId="7" borderId="36" xfId="2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25" fillId="4" borderId="8" xfId="2" applyFont="1" applyFill="1" applyBorder="1" applyAlignment="1">
      <alignment horizontal="center" vertical="center"/>
    </xf>
  </cellXfs>
  <cellStyles count="9">
    <cellStyle name="桁区切り" xfId="1" builtinId="6"/>
    <cellStyle name="桁区切り 3" xfId="4"/>
    <cellStyle name="桁区切り 3 2" xfId="8"/>
    <cellStyle name="桁区切り 4" xfId="7"/>
    <cellStyle name="標準" xfId="0" builtinId="0"/>
    <cellStyle name="標準 2 2 2" xfId="2"/>
    <cellStyle name="標準 4" xfId="3"/>
    <cellStyle name="標準_R&amp;D" xfId="5"/>
    <cellStyle name="標準_ダスキン様時間コストテーブル研修準備" xfId="6"/>
  </cellStyles>
  <dxfs count="3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ehara\My%20Documents\06&#23455;&#36341;&#12467;&#12540;&#12473;(&#26085;)\1&#25126;&#30053;&#35336;&#30011;&#12477;&#12501;&#12488;\40&#35373;&#35336;&#65315;&#65316;&#35336;&#30011;\&#12477;&#12501;&#12488;\JCCDC003050rd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100000"/>
      <sheetName val="TestExpl"/>
      <sheetName val="製品別"/>
      <sheetName val="事業別"/>
      <sheetName val="戦略見直型"/>
      <sheetName val="自社"/>
      <sheetName val="他社"/>
      <sheetName val="ﾏｯﾌﾟ"/>
      <sheetName val="改善促進型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7">
          <cell r="L7">
            <v>0</v>
          </cell>
        </row>
        <row r="8">
          <cell r="L8">
            <v>0</v>
          </cell>
        </row>
        <row r="9">
          <cell r="L9">
            <v>0</v>
          </cell>
        </row>
        <row r="11">
          <cell r="L11">
            <v>0</v>
          </cell>
        </row>
        <row r="13">
          <cell r="G13" t="str">
            <v xml:space="preserve">      品番・品名</v>
          </cell>
          <cell r="L13" t="str">
            <v>付加価値率</v>
          </cell>
          <cell r="M13" t="str">
            <v xml:space="preserve">     　自 社 設 計</v>
          </cell>
        </row>
        <row r="14">
          <cell r="G14" t="str">
            <v>　　　　改善対象比率</v>
          </cell>
          <cell r="L14">
            <v>0</v>
          </cell>
          <cell r="M14" t="str">
            <v>改善対象</v>
          </cell>
          <cell r="N14" t="str">
            <v>非対象</v>
          </cell>
        </row>
        <row r="15">
          <cell r="G15" t="str">
            <v>　　　　改善対象金額</v>
          </cell>
          <cell r="L15">
            <v>0</v>
          </cell>
        </row>
        <row r="16">
          <cell r="G16" t="str">
            <v>　   合　　　　　計</v>
          </cell>
          <cell r="L16">
            <v>0</v>
          </cell>
          <cell r="M16">
            <v>0</v>
          </cell>
          <cell r="N16">
            <v>0</v>
          </cell>
        </row>
        <row r="17">
          <cell r="G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G18">
            <v>0</v>
          </cell>
          <cell r="L18">
            <v>0</v>
          </cell>
          <cell r="M18">
            <v>0</v>
          </cell>
          <cell r="N18">
            <v>0</v>
          </cell>
        </row>
        <row r="22"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G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G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G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G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G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G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G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G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G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G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M12"/>
  <sheetViews>
    <sheetView tabSelected="1" workbookViewId="0"/>
  </sheetViews>
  <sheetFormatPr defaultRowHeight="13.2"/>
  <cols>
    <col min="1" max="1" width="3.6640625" customWidth="1"/>
    <col min="2" max="2" width="11.77734375" bestFit="1" customWidth="1"/>
  </cols>
  <sheetData>
    <row r="1" spans="2:13" ht="13.8" thickBot="1"/>
    <row r="2" spans="2:13">
      <c r="B2" s="1" t="s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3">
        <v>11</v>
      </c>
    </row>
    <row r="3" spans="2:13" ht="13.8" thickBot="1">
      <c r="B3" s="4" t="s">
        <v>1</v>
      </c>
      <c r="C3" s="5">
        <v>64</v>
      </c>
      <c r="D3" s="5">
        <v>71</v>
      </c>
      <c r="E3" s="5">
        <v>80</v>
      </c>
      <c r="F3" s="5">
        <v>80</v>
      </c>
      <c r="G3" s="5">
        <v>90</v>
      </c>
      <c r="H3" s="5">
        <v>78</v>
      </c>
      <c r="I3" s="5">
        <v>72</v>
      </c>
      <c r="J3" s="5">
        <v>72</v>
      </c>
      <c r="K3" s="5">
        <v>62</v>
      </c>
      <c r="L3" s="5">
        <v>76</v>
      </c>
      <c r="M3" s="6">
        <v>64</v>
      </c>
    </row>
    <row r="4" spans="2:13" ht="13.8" thickBot="1"/>
    <row r="5" spans="2:13">
      <c r="B5" s="1" t="s">
        <v>2</v>
      </c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3">
        <v>11</v>
      </c>
    </row>
    <row r="6" spans="2:13">
      <c r="B6" s="7" t="s">
        <v>1</v>
      </c>
      <c r="C6" s="8">
        <v>64</v>
      </c>
      <c r="D6" s="8">
        <v>71</v>
      </c>
      <c r="E6" s="8">
        <v>80</v>
      </c>
      <c r="F6" s="8">
        <v>80</v>
      </c>
      <c r="G6" s="8">
        <v>90</v>
      </c>
      <c r="H6" s="8">
        <v>78</v>
      </c>
      <c r="I6" s="8">
        <v>72</v>
      </c>
      <c r="J6" s="8">
        <v>72</v>
      </c>
      <c r="K6" s="8">
        <v>62</v>
      </c>
      <c r="L6" s="8">
        <v>76</v>
      </c>
      <c r="M6" s="9">
        <v>64</v>
      </c>
    </row>
    <row r="7" spans="2:13" ht="13.8" thickBot="1">
      <c r="B7" s="4" t="s">
        <v>3</v>
      </c>
      <c r="C7" s="5">
        <v>74</v>
      </c>
      <c r="D7" s="5">
        <v>71</v>
      </c>
      <c r="E7" s="5">
        <v>80</v>
      </c>
      <c r="F7" s="5">
        <v>76</v>
      </c>
      <c r="G7" s="5">
        <v>82</v>
      </c>
      <c r="H7" s="5">
        <v>80</v>
      </c>
      <c r="I7" s="5">
        <v>72</v>
      </c>
      <c r="J7" s="5">
        <v>76</v>
      </c>
      <c r="K7" s="5">
        <v>66</v>
      </c>
      <c r="L7" s="5">
        <v>78</v>
      </c>
      <c r="M7" s="6">
        <v>70</v>
      </c>
    </row>
    <row r="8" spans="2:13" ht="13.8" thickBot="1"/>
    <row r="9" spans="2:13" ht="13.8" thickBot="1">
      <c r="B9" s="10" t="s">
        <v>4</v>
      </c>
      <c r="C9" s="11">
        <v>1</v>
      </c>
      <c r="D9" s="11">
        <v>2</v>
      </c>
      <c r="E9" s="11">
        <v>3</v>
      </c>
      <c r="F9" s="11">
        <v>4</v>
      </c>
      <c r="G9" s="11">
        <v>5</v>
      </c>
      <c r="H9" s="11">
        <v>6</v>
      </c>
      <c r="I9" s="11">
        <v>7</v>
      </c>
      <c r="J9" s="11">
        <v>8</v>
      </c>
      <c r="K9" s="11">
        <v>9</v>
      </c>
      <c r="L9" s="11">
        <v>10</v>
      </c>
      <c r="M9" s="12">
        <v>11</v>
      </c>
    </row>
    <row r="10" spans="2:13" ht="13.8" thickTop="1">
      <c r="B10" s="13" t="s">
        <v>5</v>
      </c>
      <c r="C10" s="14">
        <v>68</v>
      </c>
      <c r="D10" s="14">
        <v>75</v>
      </c>
      <c r="E10" s="14">
        <v>62</v>
      </c>
      <c r="F10" s="14">
        <v>80</v>
      </c>
      <c r="G10" s="14">
        <v>74</v>
      </c>
      <c r="H10" s="14">
        <v>68</v>
      </c>
      <c r="I10" s="14">
        <v>70</v>
      </c>
      <c r="J10" s="14">
        <v>64</v>
      </c>
      <c r="K10" s="14">
        <v>77</v>
      </c>
      <c r="L10" s="14">
        <v>72</v>
      </c>
      <c r="M10" s="15">
        <v>71</v>
      </c>
    </row>
    <row r="11" spans="2:13">
      <c r="B11" s="7" t="s">
        <v>1</v>
      </c>
      <c r="C11" s="8">
        <v>64</v>
      </c>
      <c r="D11" s="8">
        <v>71</v>
      </c>
      <c r="E11" s="8">
        <v>80</v>
      </c>
      <c r="F11" s="8">
        <v>80</v>
      </c>
      <c r="G11" s="8">
        <v>90</v>
      </c>
      <c r="H11" s="8">
        <v>78</v>
      </c>
      <c r="I11" s="8">
        <v>72</v>
      </c>
      <c r="J11" s="8">
        <v>72</v>
      </c>
      <c r="K11" s="8">
        <v>62</v>
      </c>
      <c r="L11" s="8">
        <v>76</v>
      </c>
      <c r="M11" s="9">
        <v>64</v>
      </c>
    </row>
    <row r="12" spans="2:13" ht="13.8" thickBot="1">
      <c r="B12" s="4" t="s">
        <v>3</v>
      </c>
      <c r="C12" s="5">
        <v>74</v>
      </c>
      <c r="D12" s="5">
        <v>71</v>
      </c>
      <c r="E12" s="5">
        <v>80</v>
      </c>
      <c r="F12" s="5">
        <v>76</v>
      </c>
      <c r="G12" s="5">
        <v>82</v>
      </c>
      <c r="H12" s="5">
        <v>80</v>
      </c>
      <c r="I12" s="5">
        <v>72</v>
      </c>
      <c r="J12" s="5">
        <v>76</v>
      </c>
      <c r="K12" s="5">
        <v>66</v>
      </c>
      <c r="L12" s="5">
        <v>78</v>
      </c>
      <c r="M12" s="6">
        <v>70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S7"/>
  <sheetViews>
    <sheetView workbookViewId="0"/>
  </sheetViews>
  <sheetFormatPr defaultRowHeight="13.2"/>
  <cols>
    <col min="2" max="2" width="12.6640625" bestFit="1" customWidth="1"/>
    <col min="13" max="13" width="20.6640625" bestFit="1" customWidth="1"/>
  </cols>
  <sheetData>
    <row r="3" spans="2:19" ht="13.8" thickBot="1">
      <c r="B3" s="16"/>
      <c r="C3" s="16"/>
      <c r="D3" s="16"/>
      <c r="E3" s="16"/>
      <c r="F3" s="16"/>
      <c r="G3" s="16"/>
      <c r="H3" s="16"/>
      <c r="I3" s="16"/>
      <c r="J3" s="16"/>
      <c r="K3" s="17" t="s">
        <v>6</v>
      </c>
    </row>
    <row r="4" spans="2:19" ht="13.8" thickBot="1">
      <c r="B4" s="10" t="s">
        <v>7</v>
      </c>
      <c r="C4" s="18" t="s">
        <v>8</v>
      </c>
      <c r="D4" s="18" t="s">
        <v>9</v>
      </c>
      <c r="E4" s="18" t="s">
        <v>10</v>
      </c>
      <c r="F4" s="18" t="s">
        <v>11</v>
      </c>
      <c r="G4" s="18" t="s">
        <v>12</v>
      </c>
      <c r="H4" s="18" t="s">
        <v>13</v>
      </c>
      <c r="I4" s="18" t="s">
        <v>14</v>
      </c>
      <c r="J4" s="18" t="s">
        <v>15</v>
      </c>
      <c r="K4" s="19" t="s">
        <v>16</v>
      </c>
      <c r="M4" s="16"/>
      <c r="N4" s="16"/>
      <c r="O4" s="16"/>
      <c r="P4" s="16"/>
      <c r="Q4" s="16"/>
      <c r="R4" s="16"/>
      <c r="S4" s="17" t="s">
        <v>6</v>
      </c>
    </row>
    <row r="5" spans="2:19" ht="14.4" thickTop="1" thickBot="1">
      <c r="B5" s="13" t="s">
        <v>17</v>
      </c>
      <c r="C5" s="14">
        <v>2</v>
      </c>
      <c r="D5" s="14">
        <v>125</v>
      </c>
      <c r="E5" s="14">
        <v>115</v>
      </c>
      <c r="F5" s="14">
        <v>160</v>
      </c>
      <c r="G5" s="14">
        <v>215</v>
      </c>
      <c r="H5" s="14">
        <v>240</v>
      </c>
      <c r="I5" s="14">
        <v>300</v>
      </c>
      <c r="J5" s="14">
        <v>330</v>
      </c>
      <c r="K5" s="15">
        <v>335</v>
      </c>
      <c r="M5" s="20" t="s">
        <v>20</v>
      </c>
      <c r="N5" s="21" t="s">
        <v>17</v>
      </c>
      <c r="O5" s="21" t="s">
        <v>21</v>
      </c>
      <c r="P5" s="21" t="s">
        <v>22</v>
      </c>
      <c r="Q5" s="21" t="s">
        <v>23</v>
      </c>
      <c r="R5" s="21" t="s">
        <v>24</v>
      </c>
      <c r="S5" s="22" t="s">
        <v>25</v>
      </c>
    </row>
    <row r="6" spans="2:19" ht="14.4" thickTop="1" thickBot="1">
      <c r="B6" s="7" t="s">
        <v>18</v>
      </c>
      <c r="C6" s="8">
        <v>5</v>
      </c>
      <c r="D6" s="8">
        <v>50</v>
      </c>
      <c r="E6" s="8">
        <v>60</v>
      </c>
      <c r="F6" s="8">
        <v>165</v>
      </c>
      <c r="G6" s="8">
        <v>235</v>
      </c>
      <c r="H6" s="8">
        <v>240</v>
      </c>
      <c r="I6" s="8">
        <v>324</v>
      </c>
      <c r="J6" s="8">
        <v>399</v>
      </c>
      <c r="K6" s="9">
        <v>434</v>
      </c>
      <c r="M6" s="23" t="s">
        <v>26</v>
      </c>
      <c r="N6" s="24">
        <v>335</v>
      </c>
      <c r="O6" s="24">
        <v>434</v>
      </c>
      <c r="P6" s="24">
        <v>50</v>
      </c>
      <c r="Q6" s="25">
        <v>3665</v>
      </c>
      <c r="R6" s="24">
        <v>23</v>
      </c>
      <c r="S6" s="26">
        <v>130</v>
      </c>
    </row>
    <row r="7" spans="2:19" ht="13.8" thickBot="1">
      <c r="B7" s="4" t="s">
        <v>19</v>
      </c>
      <c r="C7" s="5">
        <v>0.05</v>
      </c>
      <c r="D7" s="5">
        <v>5</v>
      </c>
      <c r="E7" s="5">
        <v>5</v>
      </c>
      <c r="F7" s="5">
        <v>10</v>
      </c>
      <c r="G7" s="5">
        <v>20</v>
      </c>
      <c r="H7" s="5">
        <v>20</v>
      </c>
      <c r="I7" s="5">
        <v>41</v>
      </c>
      <c r="J7" s="5">
        <v>50</v>
      </c>
      <c r="K7" s="6">
        <v>50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N5"/>
  <sheetViews>
    <sheetView workbookViewId="0"/>
  </sheetViews>
  <sheetFormatPr defaultRowHeight="13.2"/>
  <cols>
    <col min="2" max="2" width="15.5546875" bestFit="1" customWidth="1"/>
  </cols>
  <sheetData>
    <row r="2" spans="2:14" ht="13.8" thickBot="1"/>
    <row r="3" spans="2:14">
      <c r="B3" s="27" t="s">
        <v>27</v>
      </c>
      <c r="C3" s="28">
        <v>21</v>
      </c>
      <c r="D3" s="28">
        <v>21.5</v>
      </c>
      <c r="E3" s="28">
        <v>22</v>
      </c>
      <c r="F3" s="28">
        <v>22.5</v>
      </c>
      <c r="G3" s="28">
        <v>23</v>
      </c>
      <c r="H3" s="28">
        <v>23.5</v>
      </c>
      <c r="I3" s="28">
        <v>24</v>
      </c>
      <c r="J3" s="28">
        <v>24.5</v>
      </c>
      <c r="K3" s="28">
        <v>25</v>
      </c>
      <c r="L3" s="28">
        <v>25.5</v>
      </c>
      <c r="M3" s="29">
        <v>26</v>
      </c>
      <c r="N3" s="30" t="s">
        <v>28</v>
      </c>
    </row>
    <row r="4" spans="2:14" ht="13.8" thickBot="1">
      <c r="B4" s="31" t="s">
        <v>29</v>
      </c>
      <c r="C4" s="5">
        <v>10</v>
      </c>
      <c r="D4" s="5">
        <v>11</v>
      </c>
      <c r="E4" s="5">
        <v>32</v>
      </c>
      <c r="F4" s="5">
        <v>111</v>
      </c>
      <c r="G4" s="5">
        <v>140</v>
      </c>
      <c r="H4" s="5">
        <v>232</v>
      </c>
      <c r="I4" s="5">
        <v>172</v>
      </c>
      <c r="J4" s="5">
        <v>105</v>
      </c>
      <c r="K4" s="5">
        <v>31</v>
      </c>
      <c r="L4" s="5">
        <v>13</v>
      </c>
      <c r="M4" s="32">
        <v>13</v>
      </c>
      <c r="N4" s="33">
        <f>SUM(C4:M4)</f>
        <v>870</v>
      </c>
    </row>
    <row r="5" spans="2:14" ht="13.8" thickBot="1">
      <c r="B5" s="287" t="s">
        <v>278</v>
      </c>
      <c r="C5" s="288">
        <f>C3*C4</f>
        <v>210</v>
      </c>
      <c r="D5" s="288">
        <f t="shared" ref="D5:M5" si="0">D3*D4</f>
        <v>236.5</v>
      </c>
      <c r="E5" s="288">
        <f t="shared" si="0"/>
        <v>704</v>
      </c>
      <c r="F5" s="288">
        <f t="shared" si="0"/>
        <v>2497.5</v>
      </c>
      <c r="G5" s="288">
        <f t="shared" si="0"/>
        <v>3220</v>
      </c>
      <c r="H5" s="288">
        <f t="shared" si="0"/>
        <v>5452</v>
      </c>
      <c r="I5" s="288">
        <f t="shared" si="0"/>
        <v>4128</v>
      </c>
      <c r="J5" s="288">
        <f t="shared" si="0"/>
        <v>2572.5</v>
      </c>
      <c r="K5" s="288">
        <f t="shared" si="0"/>
        <v>775</v>
      </c>
      <c r="L5" s="288">
        <f t="shared" si="0"/>
        <v>331.5</v>
      </c>
      <c r="M5" s="289">
        <f t="shared" si="0"/>
        <v>338</v>
      </c>
      <c r="N5" s="290">
        <f>SUM(C5:M5)</f>
        <v>20465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M5"/>
  <sheetViews>
    <sheetView workbookViewId="0"/>
  </sheetViews>
  <sheetFormatPr defaultRowHeight="13.2"/>
  <cols>
    <col min="2" max="2" width="15.77734375" bestFit="1" customWidth="1"/>
  </cols>
  <sheetData>
    <row r="1" spans="2:13" ht="13.8" thickBot="1"/>
    <row r="2" spans="2:13">
      <c r="B2" s="27" t="s">
        <v>27</v>
      </c>
      <c r="C2" s="28">
        <v>21</v>
      </c>
      <c r="D2" s="28">
        <v>21.5</v>
      </c>
      <c r="E2" s="28">
        <v>22</v>
      </c>
      <c r="F2" s="28">
        <v>22.5</v>
      </c>
      <c r="G2" s="28">
        <v>23</v>
      </c>
      <c r="H2" s="28">
        <v>23.5</v>
      </c>
      <c r="I2" s="28">
        <v>24</v>
      </c>
      <c r="J2" s="28">
        <v>24.5</v>
      </c>
      <c r="K2" s="28">
        <v>25</v>
      </c>
      <c r="L2" s="28">
        <v>25.5</v>
      </c>
      <c r="M2" s="291">
        <v>26</v>
      </c>
    </row>
    <row r="3" spans="2:13">
      <c r="B3" s="292" t="s">
        <v>29</v>
      </c>
      <c r="C3" s="8">
        <v>10</v>
      </c>
      <c r="D3" s="8">
        <v>11</v>
      </c>
      <c r="E3" s="8">
        <v>32</v>
      </c>
      <c r="F3" s="8">
        <v>111</v>
      </c>
      <c r="G3" s="8">
        <v>140</v>
      </c>
      <c r="H3" s="8">
        <v>232</v>
      </c>
      <c r="I3" s="8">
        <v>172</v>
      </c>
      <c r="J3" s="8">
        <v>105</v>
      </c>
      <c r="K3" s="8">
        <v>31</v>
      </c>
      <c r="L3" s="8">
        <v>13</v>
      </c>
      <c r="M3" s="9">
        <v>13</v>
      </c>
    </row>
    <row r="4" spans="2:13">
      <c r="B4" s="293" t="s">
        <v>279</v>
      </c>
      <c r="C4" s="8">
        <v>10</v>
      </c>
      <c r="D4" s="8">
        <f>C4+D3</f>
        <v>21</v>
      </c>
      <c r="E4" s="8">
        <f t="shared" ref="E4:M4" si="0">D4+E3</f>
        <v>53</v>
      </c>
      <c r="F4" s="8">
        <f t="shared" si="0"/>
        <v>164</v>
      </c>
      <c r="G4" s="8">
        <f t="shared" si="0"/>
        <v>304</v>
      </c>
      <c r="H4" s="8">
        <f t="shared" si="0"/>
        <v>536</v>
      </c>
      <c r="I4" s="8">
        <f t="shared" si="0"/>
        <v>708</v>
      </c>
      <c r="J4" s="8">
        <f t="shared" si="0"/>
        <v>813</v>
      </c>
      <c r="K4" s="8">
        <f t="shared" si="0"/>
        <v>844</v>
      </c>
      <c r="L4" s="8">
        <f t="shared" si="0"/>
        <v>857</v>
      </c>
      <c r="M4" s="9">
        <f t="shared" si="0"/>
        <v>870</v>
      </c>
    </row>
    <row r="5" spans="2:13" ht="13.8" thickBot="1">
      <c r="B5" s="294" t="s">
        <v>280</v>
      </c>
      <c r="C5" s="295">
        <f>ROUND(C4/$M$4,2)</f>
        <v>0.01</v>
      </c>
      <c r="D5" s="295">
        <f t="shared" ref="D5:M5" si="1">ROUND(D4/$M$4,2)</f>
        <v>0.02</v>
      </c>
      <c r="E5" s="295">
        <f t="shared" si="1"/>
        <v>0.06</v>
      </c>
      <c r="F5" s="295">
        <f t="shared" si="1"/>
        <v>0.19</v>
      </c>
      <c r="G5" s="295">
        <f t="shared" si="1"/>
        <v>0.35</v>
      </c>
      <c r="H5" s="295">
        <f t="shared" si="1"/>
        <v>0.62</v>
      </c>
      <c r="I5" s="295">
        <f t="shared" si="1"/>
        <v>0.81</v>
      </c>
      <c r="J5" s="295">
        <f t="shared" si="1"/>
        <v>0.93</v>
      </c>
      <c r="K5" s="295">
        <f t="shared" si="1"/>
        <v>0.97</v>
      </c>
      <c r="L5" s="295">
        <f t="shared" si="1"/>
        <v>0.99</v>
      </c>
      <c r="M5" s="296">
        <f t="shared" si="1"/>
        <v>1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4:E8"/>
  <sheetViews>
    <sheetView workbookViewId="0"/>
  </sheetViews>
  <sheetFormatPr defaultRowHeight="13.2"/>
  <cols>
    <col min="2" max="2" width="8.33203125" bestFit="1" customWidth="1"/>
  </cols>
  <sheetData>
    <row r="4" spans="2:5" ht="13.8" thickBot="1">
      <c r="B4" s="16"/>
      <c r="C4" s="16"/>
      <c r="D4" s="16"/>
      <c r="E4" s="17" t="s">
        <v>6</v>
      </c>
    </row>
    <row r="5" spans="2:5" ht="13.8" thickBot="1">
      <c r="B5" s="16"/>
      <c r="C5" s="34" t="s">
        <v>30</v>
      </c>
      <c r="D5" s="35" t="s">
        <v>31</v>
      </c>
      <c r="E5" s="36" t="s">
        <v>32</v>
      </c>
    </row>
    <row r="6" spans="2:5" ht="24">
      <c r="B6" s="37" t="s">
        <v>33</v>
      </c>
      <c r="C6" s="38">
        <v>46000</v>
      </c>
      <c r="D6" s="39">
        <v>19000</v>
      </c>
      <c r="E6" s="40">
        <v>87000</v>
      </c>
    </row>
    <row r="7" spans="2:5" ht="24.6" thickBot="1">
      <c r="B7" s="41" t="s">
        <v>34</v>
      </c>
      <c r="C7" s="42">
        <v>8000</v>
      </c>
      <c r="D7" s="43">
        <v>5000</v>
      </c>
      <c r="E7" s="44">
        <v>31000</v>
      </c>
    </row>
    <row r="8" spans="2:5" ht="24.6" thickBot="1">
      <c r="B8" s="45" t="s">
        <v>35</v>
      </c>
      <c r="C8" s="46">
        <v>21000</v>
      </c>
      <c r="D8" s="47">
        <v>10000</v>
      </c>
      <c r="E8" s="48">
        <v>53000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activeCell="K4" sqref="K4"/>
    </sheetView>
  </sheetViews>
  <sheetFormatPr defaultRowHeight="13.2"/>
  <cols>
    <col min="1" max="1" width="11.77734375" bestFit="1" customWidth="1"/>
  </cols>
  <sheetData>
    <row r="1" spans="1:12">
      <c r="A1" s="285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3">
        <v>11</v>
      </c>
    </row>
    <row r="2" spans="1:12" ht="13.8" thickBot="1">
      <c r="A2" s="4" t="s">
        <v>5</v>
      </c>
      <c r="B2" s="5">
        <v>68</v>
      </c>
      <c r="C2" s="5">
        <v>75</v>
      </c>
      <c r="D2" s="5">
        <v>62</v>
      </c>
      <c r="E2" s="5">
        <v>80</v>
      </c>
      <c r="F2" s="5">
        <v>74</v>
      </c>
      <c r="G2" s="5">
        <v>68</v>
      </c>
      <c r="H2" s="5">
        <v>70</v>
      </c>
      <c r="I2" s="5">
        <v>64</v>
      </c>
      <c r="J2" s="5">
        <v>77</v>
      </c>
      <c r="K2" s="5">
        <v>72</v>
      </c>
      <c r="L2" s="6">
        <v>71</v>
      </c>
    </row>
    <row r="3" spans="1:12" ht="13.8" thickBo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ht="13.8" thickBot="1">
      <c r="B4" s="297" t="s">
        <v>282</v>
      </c>
      <c r="C4" s="289">
        <f>AVERAGE(B2:L2)</f>
        <v>71</v>
      </c>
      <c r="D4" s="235"/>
      <c r="F4" s="298" t="s">
        <v>283</v>
      </c>
      <c r="G4" s="289">
        <f>GEOMEAN(B2:L2)</f>
        <v>70.811653174220481</v>
      </c>
      <c r="H4" s="235"/>
      <c r="J4" s="298" t="s">
        <v>284</v>
      </c>
      <c r="K4" s="289">
        <f>HARMEAN(B2:L2)</f>
        <v>70.622027965619679</v>
      </c>
      <c r="L4" s="235"/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activeCell="J26" sqref="J26"/>
    </sheetView>
  </sheetViews>
  <sheetFormatPr defaultRowHeight="13.2"/>
  <sheetData>
    <row r="1" spans="1:12">
      <c r="A1" s="285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3">
        <v>11</v>
      </c>
    </row>
    <row r="2" spans="1:12" ht="13.8" thickBot="1">
      <c r="A2" s="4" t="s">
        <v>5</v>
      </c>
      <c r="B2" s="5">
        <v>68</v>
      </c>
      <c r="C2" s="5">
        <v>75</v>
      </c>
      <c r="D2" s="5">
        <v>62</v>
      </c>
      <c r="E2" s="5">
        <v>80</v>
      </c>
      <c r="F2" s="5">
        <v>74</v>
      </c>
      <c r="G2" s="5">
        <v>68</v>
      </c>
      <c r="H2" s="5">
        <v>70</v>
      </c>
      <c r="I2" s="5">
        <v>64</v>
      </c>
      <c r="J2" s="5">
        <v>77</v>
      </c>
      <c r="K2" s="5">
        <v>72</v>
      </c>
      <c r="L2" s="6">
        <v>71</v>
      </c>
    </row>
    <row r="3" spans="1:12" ht="13.8" thickBo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ht="13.8" thickBot="1">
      <c r="B4" s="297" t="s">
        <v>218</v>
      </c>
      <c r="C4" s="299">
        <f>MODE(B2:L2)</f>
        <v>68</v>
      </c>
      <c r="D4" s="235"/>
      <c r="F4" s="297" t="s">
        <v>217</v>
      </c>
      <c r="G4" s="299">
        <f>MEDIAN(B2:L2)</f>
        <v>71</v>
      </c>
      <c r="H4" s="235"/>
      <c r="J4" s="235"/>
      <c r="L4" s="235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activeCell="A5" sqref="A5"/>
    </sheetView>
  </sheetViews>
  <sheetFormatPr defaultRowHeight="13.2"/>
  <sheetData>
    <row r="1" spans="1:12">
      <c r="A1" s="285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3">
        <v>11</v>
      </c>
    </row>
    <row r="2" spans="1:12" ht="13.8" thickBot="1">
      <c r="A2" s="4" t="s">
        <v>5</v>
      </c>
      <c r="B2" s="5">
        <v>68</v>
      </c>
      <c r="C2" s="5">
        <v>75</v>
      </c>
      <c r="D2" s="5">
        <v>62</v>
      </c>
      <c r="E2" s="5">
        <v>80</v>
      </c>
      <c r="F2" s="5">
        <v>74</v>
      </c>
      <c r="G2" s="5">
        <v>68</v>
      </c>
      <c r="H2" s="5">
        <v>70</v>
      </c>
      <c r="I2" s="5">
        <v>64</v>
      </c>
      <c r="J2" s="5">
        <v>77</v>
      </c>
      <c r="K2" s="5">
        <v>72</v>
      </c>
      <c r="L2" s="6">
        <v>71</v>
      </c>
    </row>
    <row r="3" spans="1:12" ht="13.8" thickBo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ht="13.8" thickBot="1">
      <c r="B4" s="300" t="s">
        <v>285</v>
      </c>
      <c r="C4" s="289">
        <f>_xlfn.QUARTILE.INC(B2:L2,1)</f>
        <v>68</v>
      </c>
      <c r="D4" s="235"/>
      <c r="F4" s="300" t="s">
        <v>286</v>
      </c>
      <c r="G4" s="289">
        <f>_xlfn.QUARTILE.INC(B2:L2,2)</f>
        <v>71</v>
      </c>
      <c r="H4" s="235"/>
      <c r="J4" s="300" t="s">
        <v>287</v>
      </c>
      <c r="K4" s="289">
        <f>_xlfn.QUARTILE.INC(B2:L2,3)</f>
        <v>74.5</v>
      </c>
      <c r="L4" s="235"/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M5"/>
  <sheetViews>
    <sheetView workbookViewId="0"/>
  </sheetViews>
  <sheetFormatPr defaultRowHeight="13.2"/>
  <cols>
    <col min="2" max="2" width="13.44140625" bestFit="1" customWidth="1"/>
  </cols>
  <sheetData>
    <row r="1" spans="2:13" ht="13.8" thickBot="1"/>
    <row r="2" spans="2:13">
      <c r="B2" s="285" t="s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3">
        <v>11</v>
      </c>
    </row>
    <row r="3" spans="2:13" ht="13.8" thickBot="1">
      <c r="B3" s="4" t="s">
        <v>5</v>
      </c>
      <c r="C3" s="5">
        <v>68</v>
      </c>
      <c r="D3" s="5">
        <v>75</v>
      </c>
      <c r="E3" s="5">
        <v>62</v>
      </c>
      <c r="F3" s="5">
        <v>80</v>
      </c>
      <c r="G3" s="5">
        <v>74</v>
      </c>
      <c r="H3" s="5">
        <v>68</v>
      </c>
      <c r="I3" s="5">
        <v>70</v>
      </c>
      <c r="J3" s="5">
        <v>64</v>
      </c>
      <c r="K3" s="5">
        <v>77</v>
      </c>
      <c r="L3" s="5">
        <v>72</v>
      </c>
      <c r="M3" s="6">
        <v>71</v>
      </c>
    </row>
    <row r="4" spans="2:13" ht="13.8" thickBot="1"/>
    <row r="5" spans="2:13" ht="13.8" thickBot="1">
      <c r="B5" s="301" t="s">
        <v>288</v>
      </c>
      <c r="C5" s="302">
        <v>62</v>
      </c>
      <c r="D5" s="302">
        <v>64</v>
      </c>
      <c r="E5" s="302">
        <v>68</v>
      </c>
      <c r="F5" s="302">
        <v>68</v>
      </c>
      <c r="G5" s="302">
        <v>70</v>
      </c>
      <c r="H5" s="302">
        <v>71</v>
      </c>
      <c r="I5" s="302">
        <v>72</v>
      </c>
      <c r="J5" s="302">
        <v>74</v>
      </c>
      <c r="K5" s="302">
        <v>75</v>
      </c>
      <c r="L5" s="302">
        <v>77</v>
      </c>
      <c r="M5" s="303">
        <v>80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N7"/>
  <sheetViews>
    <sheetView workbookViewId="0"/>
  </sheetViews>
  <sheetFormatPr defaultRowHeight="13.2"/>
  <cols>
    <col min="2" max="2" width="17.44140625" bestFit="1" customWidth="1"/>
  </cols>
  <sheetData>
    <row r="1" spans="2:14" ht="13.8" thickBot="1"/>
    <row r="2" spans="2:14">
      <c r="B2" s="285" t="s">
        <v>0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304">
        <v>11</v>
      </c>
      <c r="N2" s="305" t="s">
        <v>282</v>
      </c>
    </row>
    <row r="3" spans="2:14" ht="13.8" thickBot="1">
      <c r="B3" s="4" t="s">
        <v>5</v>
      </c>
      <c r="C3" s="5">
        <v>68</v>
      </c>
      <c r="D3" s="5">
        <v>75</v>
      </c>
      <c r="E3" s="5">
        <v>62</v>
      </c>
      <c r="F3" s="5">
        <v>80</v>
      </c>
      <c r="G3" s="5">
        <v>74</v>
      </c>
      <c r="H3" s="5">
        <v>68</v>
      </c>
      <c r="I3" s="5">
        <v>70</v>
      </c>
      <c r="J3" s="5">
        <v>64</v>
      </c>
      <c r="K3" s="5">
        <v>77</v>
      </c>
      <c r="L3" s="5">
        <v>72</v>
      </c>
      <c r="M3" s="32">
        <v>71</v>
      </c>
      <c r="N3" s="33">
        <f>ROUND(AVERAGE(C3:M3),2)</f>
        <v>71</v>
      </c>
    </row>
    <row r="4" spans="2:14" ht="13.8" thickBot="1">
      <c r="B4" s="306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307" t="s">
        <v>28</v>
      </c>
    </row>
    <row r="5" spans="2:14">
      <c r="B5" s="308" t="s">
        <v>289</v>
      </c>
      <c r="C5" s="309">
        <f>C3-$N$3</f>
        <v>-3</v>
      </c>
      <c r="D5" s="309">
        <f t="shared" ref="D5:M5" si="0">D3-$N$3</f>
        <v>4</v>
      </c>
      <c r="E5" s="309">
        <f t="shared" si="0"/>
        <v>-9</v>
      </c>
      <c r="F5" s="309">
        <f t="shared" si="0"/>
        <v>9</v>
      </c>
      <c r="G5" s="309">
        <f t="shared" si="0"/>
        <v>3</v>
      </c>
      <c r="H5" s="309">
        <f t="shared" si="0"/>
        <v>-3</v>
      </c>
      <c r="I5" s="309">
        <f t="shared" si="0"/>
        <v>-1</v>
      </c>
      <c r="J5" s="309">
        <f t="shared" si="0"/>
        <v>-7</v>
      </c>
      <c r="K5" s="309">
        <f t="shared" si="0"/>
        <v>6</v>
      </c>
      <c r="L5" s="309">
        <f t="shared" si="0"/>
        <v>1</v>
      </c>
      <c r="M5" s="310">
        <f t="shared" si="0"/>
        <v>0</v>
      </c>
      <c r="N5" s="311">
        <f>SUM(C5:M5)</f>
        <v>0</v>
      </c>
    </row>
    <row r="6" spans="2:14">
      <c r="B6" s="312" t="s">
        <v>290</v>
      </c>
      <c r="C6" s="8">
        <f>ABS(C5)</f>
        <v>3</v>
      </c>
      <c r="D6" s="8">
        <f t="shared" ref="D6:M6" si="1">ABS(D5)</f>
        <v>4</v>
      </c>
      <c r="E6" s="8">
        <f t="shared" si="1"/>
        <v>9</v>
      </c>
      <c r="F6" s="8">
        <f t="shared" si="1"/>
        <v>9</v>
      </c>
      <c r="G6" s="8">
        <f t="shared" si="1"/>
        <v>3</v>
      </c>
      <c r="H6" s="8">
        <f t="shared" si="1"/>
        <v>3</v>
      </c>
      <c r="I6" s="8">
        <f t="shared" si="1"/>
        <v>1</v>
      </c>
      <c r="J6" s="8">
        <f t="shared" si="1"/>
        <v>7</v>
      </c>
      <c r="K6" s="8">
        <f t="shared" si="1"/>
        <v>6</v>
      </c>
      <c r="L6" s="8">
        <f t="shared" si="1"/>
        <v>1</v>
      </c>
      <c r="M6" s="313">
        <f t="shared" si="1"/>
        <v>0</v>
      </c>
      <c r="N6" s="314">
        <f>SUM(C6:M6)</f>
        <v>46</v>
      </c>
    </row>
    <row r="7" spans="2:14" ht="13.8" thickBot="1">
      <c r="B7" s="315" t="s">
        <v>291</v>
      </c>
      <c r="C7" s="5">
        <f>C5^2</f>
        <v>9</v>
      </c>
      <c r="D7" s="5">
        <f t="shared" ref="D7:M7" si="2">D5^2</f>
        <v>16</v>
      </c>
      <c r="E7" s="5">
        <f t="shared" si="2"/>
        <v>81</v>
      </c>
      <c r="F7" s="5">
        <f t="shared" si="2"/>
        <v>81</v>
      </c>
      <c r="G7" s="5">
        <f t="shared" si="2"/>
        <v>9</v>
      </c>
      <c r="H7" s="5">
        <f t="shared" si="2"/>
        <v>9</v>
      </c>
      <c r="I7" s="5">
        <f t="shared" si="2"/>
        <v>1</v>
      </c>
      <c r="J7" s="5">
        <f t="shared" si="2"/>
        <v>49</v>
      </c>
      <c r="K7" s="5">
        <f t="shared" si="2"/>
        <v>36</v>
      </c>
      <c r="L7" s="5">
        <f t="shared" si="2"/>
        <v>1</v>
      </c>
      <c r="M7" s="32">
        <f t="shared" si="2"/>
        <v>0</v>
      </c>
      <c r="N7" s="33">
        <f>SUM(C7:M7)</f>
        <v>292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N8"/>
  <sheetViews>
    <sheetView workbookViewId="0"/>
  </sheetViews>
  <sheetFormatPr defaultRowHeight="13.2"/>
  <cols>
    <col min="2" max="2" width="15.5546875" bestFit="1" customWidth="1"/>
  </cols>
  <sheetData>
    <row r="1" spans="2:14" ht="13.8" thickBot="1"/>
    <row r="2" spans="2:14">
      <c r="B2" s="27" t="s">
        <v>27</v>
      </c>
      <c r="C2" s="28">
        <v>21</v>
      </c>
      <c r="D2" s="28">
        <v>21.5</v>
      </c>
      <c r="E2" s="28">
        <v>22</v>
      </c>
      <c r="F2" s="28">
        <v>22.5</v>
      </c>
      <c r="G2" s="28">
        <v>23</v>
      </c>
      <c r="H2" s="28">
        <v>23.5</v>
      </c>
      <c r="I2" s="28">
        <v>24</v>
      </c>
      <c r="J2" s="28">
        <v>24.5</v>
      </c>
      <c r="K2" s="28">
        <v>25</v>
      </c>
      <c r="L2" s="28">
        <v>25.5</v>
      </c>
      <c r="M2" s="29">
        <v>26</v>
      </c>
      <c r="N2" s="30" t="s">
        <v>28</v>
      </c>
    </row>
    <row r="3" spans="2:14" ht="13.8" thickBot="1">
      <c r="B3" s="31" t="s">
        <v>29</v>
      </c>
      <c r="C3" s="5">
        <v>10</v>
      </c>
      <c r="D3" s="5">
        <v>11</v>
      </c>
      <c r="E3" s="5">
        <v>32</v>
      </c>
      <c r="F3" s="5">
        <v>111</v>
      </c>
      <c r="G3" s="5">
        <v>140</v>
      </c>
      <c r="H3" s="5">
        <v>232</v>
      </c>
      <c r="I3" s="5">
        <v>172</v>
      </c>
      <c r="J3" s="5">
        <v>105</v>
      </c>
      <c r="K3" s="5">
        <v>31</v>
      </c>
      <c r="L3" s="5">
        <v>13</v>
      </c>
      <c r="M3" s="32">
        <v>13</v>
      </c>
      <c r="N3" s="33">
        <f>SUM(C3:M3)</f>
        <v>870</v>
      </c>
    </row>
    <row r="4" spans="2:14" ht="13.8" thickBot="1"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2:14" ht="13.8" thickBot="1">
      <c r="B5" s="316" t="s">
        <v>292</v>
      </c>
      <c r="C5" s="317">
        <f>C2*C3</f>
        <v>210</v>
      </c>
      <c r="D5" s="317">
        <f t="shared" ref="D5:M5" si="0">D2*D3</f>
        <v>236.5</v>
      </c>
      <c r="E5" s="317">
        <f t="shared" si="0"/>
        <v>704</v>
      </c>
      <c r="F5" s="317">
        <f t="shared" si="0"/>
        <v>2497.5</v>
      </c>
      <c r="G5" s="317">
        <f t="shared" si="0"/>
        <v>3220</v>
      </c>
      <c r="H5" s="317">
        <f t="shared" si="0"/>
        <v>5452</v>
      </c>
      <c r="I5" s="317">
        <f t="shared" si="0"/>
        <v>4128</v>
      </c>
      <c r="J5" s="317">
        <f t="shared" si="0"/>
        <v>2572.5</v>
      </c>
      <c r="K5" s="317">
        <f t="shared" si="0"/>
        <v>775</v>
      </c>
      <c r="L5" s="317">
        <f t="shared" si="0"/>
        <v>331.5</v>
      </c>
      <c r="M5" s="318">
        <f t="shared" si="0"/>
        <v>338</v>
      </c>
      <c r="N5" s="319">
        <f>SUM(C5:M5)</f>
        <v>20465</v>
      </c>
    </row>
    <row r="6" spans="2:14">
      <c r="B6" s="320" t="s">
        <v>293</v>
      </c>
      <c r="C6" s="321">
        <f>C2-23.5</f>
        <v>-2.5</v>
      </c>
      <c r="D6" s="321">
        <f t="shared" ref="D6:M6" si="1">D2-23.5</f>
        <v>-2</v>
      </c>
      <c r="E6" s="321">
        <f t="shared" si="1"/>
        <v>-1.5</v>
      </c>
      <c r="F6" s="321">
        <f t="shared" si="1"/>
        <v>-1</v>
      </c>
      <c r="G6" s="321">
        <f t="shared" si="1"/>
        <v>-0.5</v>
      </c>
      <c r="H6" s="321">
        <f t="shared" si="1"/>
        <v>0</v>
      </c>
      <c r="I6" s="321">
        <f t="shared" si="1"/>
        <v>0.5</v>
      </c>
      <c r="J6" s="321">
        <f t="shared" si="1"/>
        <v>1</v>
      </c>
      <c r="K6" s="321">
        <f t="shared" si="1"/>
        <v>1.5</v>
      </c>
      <c r="L6" s="321">
        <f t="shared" si="1"/>
        <v>2</v>
      </c>
      <c r="M6" s="322">
        <f t="shared" si="1"/>
        <v>2.5</v>
      </c>
      <c r="N6" s="323">
        <f>SUM(C6:M6)</f>
        <v>0</v>
      </c>
    </row>
    <row r="7" spans="2:14">
      <c r="B7" s="293" t="s">
        <v>294</v>
      </c>
      <c r="C7" s="324">
        <f>ROUND(C6^2,2)</f>
        <v>6.25</v>
      </c>
      <c r="D7" s="324">
        <f t="shared" ref="D7:M7" si="2">ROUND(D6^2,2)</f>
        <v>4</v>
      </c>
      <c r="E7" s="324">
        <f t="shared" si="2"/>
        <v>2.25</v>
      </c>
      <c r="F7" s="324">
        <f t="shared" si="2"/>
        <v>1</v>
      </c>
      <c r="G7" s="324">
        <f t="shared" si="2"/>
        <v>0.25</v>
      </c>
      <c r="H7" s="324">
        <f t="shared" si="2"/>
        <v>0</v>
      </c>
      <c r="I7" s="324">
        <f t="shared" si="2"/>
        <v>0.25</v>
      </c>
      <c r="J7" s="324">
        <f t="shared" si="2"/>
        <v>1</v>
      </c>
      <c r="K7" s="324">
        <f t="shared" si="2"/>
        <v>2.25</v>
      </c>
      <c r="L7" s="324">
        <f t="shared" si="2"/>
        <v>4</v>
      </c>
      <c r="M7" s="325">
        <f t="shared" si="2"/>
        <v>6.25</v>
      </c>
      <c r="N7" s="326">
        <f>SUM(C7:M7)</f>
        <v>27.5</v>
      </c>
    </row>
    <row r="8" spans="2:14" ht="13.8" thickBot="1">
      <c r="B8" s="294" t="s">
        <v>295</v>
      </c>
      <c r="C8" s="327">
        <f>C3*C7</f>
        <v>62.5</v>
      </c>
      <c r="D8" s="327">
        <f t="shared" ref="D8:M8" si="3">D3*D7</f>
        <v>44</v>
      </c>
      <c r="E8" s="327">
        <f t="shared" si="3"/>
        <v>72</v>
      </c>
      <c r="F8" s="327">
        <f t="shared" si="3"/>
        <v>111</v>
      </c>
      <c r="G8" s="327">
        <f t="shared" si="3"/>
        <v>35</v>
      </c>
      <c r="H8" s="327">
        <f t="shared" si="3"/>
        <v>0</v>
      </c>
      <c r="I8" s="327">
        <f t="shared" si="3"/>
        <v>43</v>
      </c>
      <c r="J8" s="327">
        <f t="shared" si="3"/>
        <v>105</v>
      </c>
      <c r="K8" s="327">
        <f t="shared" si="3"/>
        <v>69.75</v>
      </c>
      <c r="L8" s="327">
        <f t="shared" si="3"/>
        <v>52</v>
      </c>
      <c r="M8" s="328">
        <f t="shared" si="3"/>
        <v>81.25</v>
      </c>
      <c r="N8" s="329">
        <f>SUM(C8:M8)</f>
        <v>675.5</v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O4"/>
  <sheetViews>
    <sheetView workbookViewId="0"/>
  </sheetViews>
  <sheetFormatPr defaultRowHeight="13.2"/>
  <cols>
    <col min="2" max="2" width="11.77734375" bestFit="1" customWidth="1"/>
  </cols>
  <sheetData>
    <row r="1" spans="2:15" ht="13.8" thickBot="1"/>
    <row r="2" spans="2:15">
      <c r="B2" s="330" t="s">
        <v>2</v>
      </c>
      <c r="C2" s="331">
        <v>1</v>
      </c>
      <c r="D2" s="331">
        <v>2</v>
      </c>
      <c r="E2" s="331">
        <v>3</v>
      </c>
      <c r="F2" s="331">
        <v>4</v>
      </c>
      <c r="G2" s="331">
        <v>5</v>
      </c>
      <c r="H2" s="331">
        <v>6</v>
      </c>
      <c r="I2" s="331">
        <v>7</v>
      </c>
      <c r="J2" s="331">
        <v>8</v>
      </c>
      <c r="K2" s="331">
        <v>9</v>
      </c>
      <c r="L2" s="331">
        <v>10</v>
      </c>
      <c r="M2" s="332">
        <v>11</v>
      </c>
      <c r="N2" s="320" t="s">
        <v>296</v>
      </c>
      <c r="O2" s="333" t="s">
        <v>297</v>
      </c>
    </row>
    <row r="3" spans="2:15">
      <c r="B3" s="334" t="s">
        <v>5</v>
      </c>
      <c r="C3" s="8">
        <v>68</v>
      </c>
      <c r="D3" s="8">
        <v>75</v>
      </c>
      <c r="E3" s="8">
        <v>62</v>
      </c>
      <c r="F3" s="8">
        <v>80</v>
      </c>
      <c r="G3" s="8">
        <v>74</v>
      </c>
      <c r="H3" s="8">
        <v>68</v>
      </c>
      <c r="I3" s="8">
        <v>70</v>
      </c>
      <c r="J3" s="8">
        <v>64</v>
      </c>
      <c r="K3" s="8">
        <v>77</v>
      </c>
      <c r="L3" s="8">
        <v>72</v>
      </c>
      <c r="M3" s="313">
        <v>71</v>
      </c>
      <c r="N3" s="335">
        <f>ROUND(AVERAGE(C3:M3),1)</f>
        <v>71</v>
      </c>
      <c r="O3" s="336">
        <f>ROUND(STDEVP(C3:M3),2)</f>
        <v>5.15</v>
      </c>
    </row>
    <row r="4" spans="2:15" ht="13.8" thickBot="1">
      <c r="B4" s="334" t="s">
        <v>1</v>
      </c>
      <c r="C4" s="8">
        <v>64</v>
      </c>
      <c r="D4" s="8">
        <v>71</v>
      </c>
      <c r="E4" s="8">
        <v>80</v>
      </c>
      <c r="F4" s="8">
        <v>80</v>
      </c>
      <c r="G4" s="8">
        <v>90</v>
      </c>
      <c r="H4" s="8">
        <v>78</v>
      </c>
      <c r="I4" s="8">
        <v>72</v>
      </c>
      <c r="J4" s="8">
        <v>72</v>
      </c>
      <c r="K4" s="8">
        <v>62</v>
      </c>
      <c r="L4" s="8">
        <v>76</v>
      </c>
      <c r="M4" s="313">
        <v>64</v>
      </c>
      <c r="N4" s="337">
        <f>ROUND(AVERAGE(C4:M4),1)</f>
        <v>73.5</v>
      </c>
      <c r="O4" s="338">
        <f>ROUND(STDEVP(C4:M4),2)</f>
        <v>8.02</v>
      </c>
    </row>
  </sheetData>
  <phoneticPr fontId="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O11"/>
  <sheetViews>
    <sheetView workbookViewId="0"/>
  </sheetViews>
  <sheetFormatPr defaultRowHeight="13.2"/>
  <cols>
    <col min="2" max="2" width="17.88671875" bestFit="1" customWidth="1"/>
  </cols>
  <sheetData>
    <row r="2" spans="2:15">
      <c r="B2" s="339" t="s">
        <v>298</v>
      </c>
      <c r="C2" s="331">
        <v>1</v>
      </c>
      <c r="D2" s="331">
        <v>2</v>
      </c>
      <c r="E2" s="331">
        <v>3</v>
      </c>
      <c r="F2" s="331">
        <v>4</v>
      </c>
      <c r="G2" s="331">
        <v>5</v>
      </c>
      <c r="H2" s="331">
        <v>6</v>
      </c>
      <c r="I2" s="331">
        <v>7</v>
      </c>
      <c r="J2" s="331">
        <v>8</v>
      </c>
      <c r="K2" s="331">
        <v>9</v>
      </c>
      <c r="L2" s="331">
        <v>10</v>
      </c>
      <c r="M2" s="331">
        <v>11</v>
      </c>
      <c r="N2" s="331" t="s">
        <v>296</v>
      </c>
      <c r="O2" s="340" t="s">
        <v>297</v>
      </c>
    </row>
    <row r="3" spans="2:15">
      <c r="B3" s="341" t="s">
        <v>299</v>
      </c>
      <c r="C3" s="8">
        <v>68</v>
      </c>
      <c r="D3" s="8">
        <v>75</v>
      </c>
      <c r="E3" s="8">
        <v>62</v>
      </c>
      <c r="F3" s="8">
        <v>80</v>
      </c>
      <c r="G3" s="8">
        <v>74</v>
      </c>
      <c r="H3" s="8">
        <v>68</v>
      </c>
      <c r="I3" s="8">
        <v>70</v>
      </c>
      <c r="J3" s="8">
        <v>64</v>
      </c>
      <c r="K3" s="8">
        <v>77</v>
      </c>
      <c r="L3" s="8">
        <v>72</v>
      </c>
      <c r="M3" s="8">
        <v>71</v>
      </c>
      <c r="N3" s="100">
        <f>ROUND(AVERAGE(C3:M3),1)</f>
        <v>71</v>
      </c>
      <c r="O3" s="8">
        <f>ROUND(STDEVP(C3:M3),2)</f>
        <v>5.15</v>
      </c>
    </row>
    <row r="4" spans="2:15" ht="13.8" thickBot="1">
      <c r="B4" s="103" t="s">
        <v>300</v>
      </c>
      <c r="C4" s="342">
        <f>C3-$N$3</f>
        <v>-3</v>
      </c>
      <c r="D4" s="342">
        <f t="shared" ref="D4:M4" si="0">D3-$N$3</f>
        <v>4</v>
      </c>
      <c r="E4" s="342">
        <f t="shared" si="0"/>
        <v>-9</v>
      </c>
      <c r="F4" s="342">
        <f t="shared" si="0"/>
        <v>9</v>
      </c>
      <c r="G4" s="342">
        <f t="shared" si="0"/>
        <v>3</v>
      </c>
      <c r="H4" s="342">
        <f t="shared" si="0"/>
        <v>-3</v>
      </c>
      <c r="I4" s="342">
        <f t="shared" si="0"/>
        <v>-1</v>
      </c>
      <c r="J4" s="342">
        <f t="shared" si="0"/>
        <v>-7</v>
      </c>
      <c r="K4" s="342">
        <f t="shared" si="0"/>
        <v>6</v>
      </c>
      <c r="L4" s="342">
        <f t="shared" si="0"/>
        <v>1</v>
      </c>
      <c r="M4" s="342">
        <f t="shared" si="0"/>
        <v>0</v>
      </c>
      <c r="N4" s="343">
        <f>ROUND(AVERAGE(C4:M4),1)</f>
        <v>0</v>
      </c>
      <c r="O4" s="103">
        <f t="shared" ref="O4" si="1">ROUND(STDEVP(C4:M4),2)</f>
        <v>5.15</v>
      </c>
    </row>
    <row r="5" spans="2:15" ht="13.8" thickBot="1">
      <c r="B5" s="297" t="s">
        <v>301</v>
      </c>
      <c r="C5" s="344">
        <f>ROUND(C4/$O$3,2)</f>
        <v>-0.57999999999999996</v>
      </c>
      <c r="D5" s="344">
        <f t="shared" ref="D5:O5" si="2">ROUND(D4/$O$3,2)</f>
        <v>0.78</v>
      </c>
      <c r="E5" s="344">
        <f t="shared" si="2"/>
        <v>-1.75</v>
      </c>
      <c r="F5" s="344">
        <f t="shared" si="2"/>
        <v>1.75</v>
      </c>
      <c r="G5" s="344">
        <f t="shared" si="2"/>
        <v>0.57999999999999996</v>
      </c>
      <c r="H5" s="344">
        <f t="shared" si="2"/>
        <v>-0.57999999999999996</v>
      </c>
      <c r="I5" s="344">
        <f t="shared" si="2"/>
        <v>-0.19</v>
      </c>
      <c r="J5" s="344">
        <f t="shared" si="2"/>
        <v>-1.36</v>
      </c>
      <c r="K5" s="344">
        <f t="shared" si="2"/>
        <v>1.17</v>
      </c>
      <c r="L5" s="344">
        <f t="shared" si="2"/>
        <v>0.19</v>
      </c>
      <c r="M5" s="345">
        <f t="shared" si="2"/>
        <v>0</v>
      </c>
      <c r="N5" s="346">
        <f t="shared" si="2"/>
        <v>0</v>
      </c>
      <c r="O5" s="347">
        <f t="shared" si="2"/>
        <v>1</v>
      </c>
    </row>
    <row r="8" spans="2:15">
      <c r="B8" s="339" t="s">
        <v>302</v>
      </c>
      <c r="C8" s="331">
        <v>1</v>
      </c>
      <c r="D8" s="331">
        <v>2</v>
      </c>
      <c r="E8" s="331">
        <v>3</v>
      </c>
      <c r="F8" s="331">
        <v>4</v>
      </c>
      <c r="G8" s="331">
        <v>5</v>
      </c>
      <c r="H8" s="331">
        <v>6</v>
      </c>
      <c r="I8" s="331">
        <v>7</v>
      </c>
      <c r="J8" s="331">
        <v>8</v>
      </c>
      <c r="K8" s="331">
        <v>9</v>
      </c>
      <c r="L8" s="331">
        <v>10</v>
      </c>
      <c r="M8" s="331">
        <v>11</v>
      </c>
      <c r="N8" s="331" t="s">
        <v>296</v>
      </c>
      <c r="O8" s="340" t="s">
        <v>297</v>
      </c>
    </row>
    <row r="9" spans="2:15">
      <c r="B9" s="341" t="s">
        <v>303</v>
      </c>
      <c r="C9" s="8">
        <v>64</v>
      </c>
      <c r="D9" s="8">
        <v>71</v>
      </c>
      <c r="E9" s="8">
        <v>80</v>
      </c>
      <c r="F9" s="8">
        <v>80</v>
      </c>
      <c r="G9" s="8">
        <v>90</v>
      </c>
      <c r="H9" s="8">
        <v>78</v>
      </c>
      <c r="I9" s="8">
        <v>72</v>
      </c>
      <c r="J9" s="8">
        <v>72</v>
      </c>
      <c r="K9" s="8">
        <v>62</v>
      </c>
      <c r="L9" s="8">
        <v>76</v>
      </c>
      <c r="M9" s="8">
        <v>64</v>
      </c>
      <c r="N9" s="100">
        <f>ROUND(AVERAGE(C9:M9),1)</f>
        <v>73.5</v>
      </c>
      <c r="O9" s="8">
        <f>ROUND(STDEVP(C9:M9),2)</f>
        <v>8.02</v>
      </c>
    </row>
    <row r="10" spans="2:15" ht="13.8" thickBot="1">
      <c r="B10" s="103" t="s">
        <v>304</v>
      </c>
      <c r="C10" s="342">
        <f>ROUND(C9-$N$9,1)</f>
        <v>-9.5</v>
      </c>
      <c r="D10" s="342">
        <f t="shared" ref="D10:M10" si="3">ROUND(D9-$N$9,1)</f>
        <v>-2.5</v>
      </c>
      <c r="E10" s="342">
        <f t="shared" si="3"/>
        <v>6.5</v>
      </c>
      <c r="F10" s="342">
        <f t="shared" si="3"/>
        <v>6.5</v>
      </c>
      <c r="G10" s="342">
        <f t="shared" si="3"/>
        <v>16.5</v>
      </c>
      <c r="H10" s="342">
        <f t="shared" si="3"/>
        <v>4.5</v>
      </c>
      <c r="I10" s="342">
        <f t="shared" si="3"/>
        <v>-1.5</v>
      </c>
      <c r="J10" s="342">
        <f t="shared" si="3"/>
        <v>-1.5</v>
      </c>
      <c r="K10" s="342">
        <f t="shared" si="3"/>
        <v>-11.5</v>
      </c>
      <c r="L10" s="342">
        <f t="shared" si="3"/>
        <v>2.5</v>
      </c>
      <c r="M10" s="342">
        <f t="shared" si="3"/>
        <v>-9.5</v>
      </c>
      <c r="N10" s="343">
        <f t="shared" ref="N10" si="4">ROUND(AVERAGE(C10:M10),1)</f>
        <v>0</v>
      </c>
      <c r="O10" s="103">
        <f t="shared" ref="O10" si="5">ROUND(STDEVP(C10:M10),2)</f>
        <v>8.02</v>
      </c>
    </row>
    <row r="11" spans="2:15" ht="13.8" thickBot="1">
      <c r="B11" s="297" t="s">
        <v>305</v>
      </c>
      <c r="C11" s="344">
        <f>ROUND(C10/$O$9,2)</f>
        <v>-1.18</v>
      </c>
      <c r="D11" s="344">
        <f t="shared" ref="D11:O11" si="6">ROUND(D10/$O$9,2)</f>
        <v>-0.31</v>
      </c>
      <c r="E11" s="344">
        <f t="shared" si="6"/>
        <v>0.81</v>
      </c>
      <c r="F11" s="344">
        <f t="shared" si="6"/>
        <v>0.81</v>
      </c>
      <c r="G11" s="344">
        <f t="shared" si="6"/>
        <v>2.06</v>
      </c>
      <c r="H11" s="344">
        <f t="shared" si="6"/>
        <v>0.56000000000000005</v>
      </c>
      <c r="I11" s="344">
        <f t="shared" si="6"/>
        <v>-0.19</v>
      </c>
      <c r="J11" s="344">
        <f t="shared" si="6"/>
        <v>-0.19</v>
      </c>
      <c r="K11" s="344">
        <f t="shared" si="6"/>
        <v>-1.43</v>
      </c>
      <c r="L11" s="344">
        <f t="shared" si="6"/>
        <v>0.31</v>
      </c>
      <c r="M11" s="344">
        <f t="shared" si="6"/>
        <v>-1.18</v>
      </c>
      <c r="N11" s="346">
        <f t="shared" si="6"/>
        <v>0</v>
      </c>
      <c r="O11" s="347">
        <f t="shared" si="6"/>
        <v>1</v>
      </c>
    </row>
  </sheetData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activeCell="A5" sqref="A5"/>
    </sheetView>
  </sheetViews>
  <sheetFormatPr defaultRowHeight="13.2"/>
  <cols>
    <col min="1" max="1" width="11.77734375" bestFit="1" customWidth="1"/>
  </cols>
  <sheetData>
    <row r="1" spans="1:12">
      <c r="A1" s="285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3">
        <v>11</v>
      </c>
    </row>
    <row r="2" spans="1:12" ht="13.8" thickBot="1">
      <c r="A2" s="4" t="s">
        <v>5</v>
      </c>
      <c r="B2" s="5">
        <v>68</v>
      </c>
      <c r="C2" s="5">
        <v>75</v>
      </c>
      <c r="D2" s="5">
        <v>62</v>
      </c>
      <c r="E2" s="5">
        <v>80</v>
      </c>
      <c r="F2" s="5">
        <v>74</v>
      </c>
      <c r="G2" s="5">
        <v>68</v>
      </c>
      <c r="H2" s="5">
        <v>70</v>
      </c>
      <c r="I2" s="5">
        <v>64</v>
      </c>
      <c r="J2" s="5">
        <v>77</v>
      </c>
      <c r="K2" s="5">
        <v>72</v>
      </c>
      <c r="L2" s="6">
        <v>71</v>
      </c>
    </row>
    <row r="3" spans="1:12" ht="13.8" thickBo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ht="13.8" thickBot="1">
      <c r="B4" s="297" t="s">
        <v>306</v>
      </c>
      <c r="C4" s="299">
        <f>MAX(B2:L2)-MIN(B2:L2)</f>
        <v>18</v>
      </c>
      <c r="D4" s="235"/>
      <c r="F4" s="300" t="s">
        <v>307</v>
      </c>
      <c r="G4" s="289">
        <f>_xlfn.QUARTILE.INC(B2:L2,3)-_xlfn.QUARTILE.INC(B2:L2,1)</f>
        <v>6.5</v>
      </c>
      <c r="H4" s="235"/>
      <c r="J4" s="300" t="s">
        <v>308</v>
      </c>
      <c r="K4" s="348">
        <f>(_xlfn.QUARTILE.INC(B2:L2,3)-_xlfn.QUARTILE.INC(B2:L2,1))/2</f>
        <v>3.25</v>
      </c>
      <c r="L4" s="235"/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activeCell="A5" sqref="A5"/>
    </sheetView>
  </sheetViews>
  <sheetFormatPr defaultRowHeight="13.2"/>
  <cols>
    <col min="1" max="1" width="11.77734375" bestFit="1" customWidth="1"/>
  </cols>
  <sheetData>
    <row r="1" spans="1:12">
      <c r="A1" s="285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3">
        <v>11</v>
      </c>
    </row>
    <row r="2" spans="1:12" ht="13.8" thickBot="1">
      <c r="A2" s="4" t="s">
        <v>5</v>
      </c>
      <c r="B2" s="5">
        <v>68</v>
      </c>
      <c r="C2" s="5">
        <v>75</v>
      </c>
      <c r="D2" s="5">
        <v>62</v>
      </c>
      <c r="E2" s="5">
        <v>80</v>
      </c>
      <c r="F2" s="5">
        <v>74</v>
      </c>
      <c r="G2" s="5">
        <v>68</v>
      </c>
      <c r="H2" s="5">
        <v>70</v>
      </c>
      <c r="I2" s="5">
        <v>64</v>
      </c>
      <c r="J2" s="5">
        <v>77</v>
      </c>
      <c r="K2" s="5">
        <v>72</v>
      </c>
      <c r="L2" s="6">
        <v>71</v>
      </c>
    </row>
    <row r="3" spans="1:12" ht="13.8" thickBo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ht="13.8" thickBot="1">
      <c r="B4" s="300" t="s">
        <v>309</v>
      </c>
      <c r="C4" s="289">
        <f>AVEDEV(B2:L2)</f>
        <v>4.1818181818181817</v>
      </c>
      <c r="D4" s="235"/>
      <c r="F4" s="300" t="s">
        <v>310</v>
      </c>
      <c r="G4" s="289">
        <f>DEVSQ(B2:L2)</f>
        <v>292</v>
      </c>
      <c r="H4" s="235"/>
      <c r="J4" s="300" t="s">
        <v>155</v>
      </c>
      <c r="K4" s="289">
        <f>VARP(B2:L2)</f>
        <v>26.545454545454547</v>
      </c>
      <c r="L4" s="235"/>
    </row>
  </sheetData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activeCell="A5" sqref="A5"/>
    </sheetView>
  </sheetViews>
  <sheetFormatPr defaultRowHeight="13.2"/>
  <cols>
    <col min="1" max="1" width="11.77734375" bestFit="1" customWidth="1"/>
  </cols>
  <sheetData>
    <row r="1" spans="1:12">
      <c r="A1" s="285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3">
        <v>11</v>
      </c>
    </row>
    <row r="2" spans="1:12" ht="13.8" thickBot="1">
      <c r="A2" s="4" t="s">
        <v>5</v>
      </c>
      <c r="B2" s="5">
        <v>68</v>
      </c>
      <c r="C2" s="5">
        <v>75</v>
      </c>
      <c r="D2" s="5">
        <v>62</v>
      </c>
      <c r="E2" s="5">
        <v>80</v>
      </c>
      <c r="F2" s="5">
        <v>74</v>
      </c>
      <c r="G2" s="5">
        <v>68</v>
      </c>
      <c r="H2" s="5">
        <v>70</v>
      </c>
      <c r="I2" s="5">
        <v>64</v>
      </c>
      <c r="J2" s="5">
        <v>77</v>
      </c>
      <c r="K2" s="5">
        <v>72</v>
      </c>
      <c r="L2" s="6">
        <v>71</v>
      </c>
    </row>
    <row r="3" spans="1:12" ht="13.8" thickBot="1">
      <c r="A3" s="235"/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ht="13.8" thickBot="1">
      <c r="B4" s="300" t="s">
        <v>297</v>
      </c>
      <c r="C4" s="348">
        <f>STDEVP(B2:L2)</f>
        <v>5.1522281146562747</v>
      </c>
      <c r="D4" s="235"/>
      <c r="F4" s="300" t="s">
        <v>311</v>
      </c>
      <c r="G4" s="348">
        <f>VAR(B2:L2)</f>
        <v>29.2</v>
      </c>
      <c r="H4" s="235"/>
      <c r="J4" s="300" t="s">
        <v>312</v>
      </c>
      <c r="K4" s="348">
        <f>STDEV(B2:L2)</f>
        <v>5.4037024344425184</v>
      </c>
      <c r="L4" s="235"/>
    </row>
  </sheetData>
  <phoneticPr fontId="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3:I15"/>
  <sheetViews>
    <sheetView workbookViewId="0"/>
  </sheetViews>
  <sheetFormatPr defaultRowHeight="13.2"/>
  <sheetData>
    <row r="3" spans="2:9">
      <c r="B3" s="564" t="s">
        <v>36</v>
      </c>
      <c r="C3" s="54" t="s">
        <v>37</v>
      </c>
      <c r="E3" s="565" t="s">
        <v>313</v>
      </c>
      <c r="F3" s="565"/>
      <c r="G3" s="565" t="s">
        <v>314</v>
      </c>
      <c r="H3" s="565" t="s">
        <v>325</v>
      </c>
      <c r="I3" s="565" t="s">
        <v>327</v>
      </c>
    </row>
    <row r="4" spans="2:9">
      <c r="B4" s="564"/>
      <c r="C4" s="53" t="s">
        <v>38</v>
      </c>
      <c r="E4" s="565"/>
      <c r="F4" s="565"/>
      <c r="G4" s="565"/>
      <c r="H4" s="565"/>
      <c r="I4" s="565"/>
    </row>
    <row r="5" spans="2:9">
      <c r="B5" s="50" t="s">
        <v>39</v>
      </c>
      <c r="C5" s="51">
        <v>26</v>
      </c>
      <c r="E5" s="352">
        <v>1</v>
      </c>
      <c r="F5" s="350" t="s">
        <v>316</v>
      </c>
      <c r="G5" s="353">
        <v>60</v>
      </c>
      <c r="H5" s="353">
        <f>G5</f>
        <v>60</v>
      </c>
      <c r="I5" s="354">
        <f>ROUND(H5/$H$12*100,1)</f>
        <v>40</v>
      </c>
    </row>
    <row r="6" spans="2:9">
      <c r="B6" s="50" t="s">
        <v>40</v>
      </c>
      <c r="C6" s="51">
        <v>8</v>
      </c>
      <c r="E6" s="355">
        <v>2</v>
      </c>
      <c r="F6" s="356" t="s">
        <v>317</v>
      </c>
      <c r="G6" s="357">
        <v>34</v>
      </c>
      <c r="H6" s="357">
        <f>H5+G6</f>
        <v>94</v>
      </c>
      <c r="I6" s="354">
        <f t="shared" ref="I6:I12" si="0">ROUND(H6/$H$12*100,1)</f>
        <v>62.7</v>
      </c>
    </row>
    <row r="7" spans="2:9">
      <c r="B7" s="50" t="s">
        <v>41</v>
      </c>
      <c r="C7" s="51">
        <v>1</v>
      </c>
      <c r="E7" s="355">
        <v>3</v>
      </c>
      <c r="F7" s="356" t="s">
        <v>318</v>
      </c>
      <c r="G7" s="357">
        <v>26</v>
      </c>
      <c r="H7" s="357">
        <f t="shared" ref="H7:H12" si="1">H6+G7</f>
        <v>120</v>
      </c>
      <c r="I7" s="354">
        <f t="shared" si="0"/>
        <v>80</v>
      </c>
    </row>
    <row r="8" spans="2:9">
      <c r="B8" s="50" t="s">
        <v>42</v>
      </c>
      <c r="C8" s="51">
        <v>60</v>
      </c>
      <c r="E8" s="352">
        <v>4</v>
      </c>
      <c r="F8" s="356" t="s">
        <v>319</v>
      </c>
      <c r="G8" s="357">
        <v>12</v>
      </c>
      <c r="H8" s="357">
        <f t="shared" si="1"/>
        <v>132</v>
      </c>
      <c r="I8" s="354">
        <f t="shared" si="0"/>
        <v>88</v>
      </c>
    </row>
    <row r="9" spans="2:9">
      <c r="B9" s="50" t="s">
        <v>43</v>
      </c>
      <c r="C9" s="51">
        <v>34</v>
      </c>
      <c r="E9" s="355">
        <v>5</v>
      </c>
      <c r="F9" s="350" t="s">
        <v>320</v>
      </c>
      <c r="G9" s="353">
        <v>8</v>
      </c>
      <c r="H9" s="357">
        <f t="shared" si="1"/>
        <v>140</v>
      </c>
      <c r="I9" s="354">
        <f t="shared" si="0"/>
        <v>93.3</v>
      </c>
    </row>
    <row r="10" spans="2:9">
      <c r="B10" s="50" t="s">
        <v>44</v>
      </c>
      <c r="C10" s="51">
        <v>1</v>
      </c>
      <c r="E10" s="355">
        <v>6</v>
      </c>
      <c r="F10" s="350" t="s">
        <v>321</v>
      </c>
      <c r="G10" s="353">
        <v>5</v>
      </c>
      <c r="H10" s="357">
        <f t="shared" si="1"/>
        <v>145</v>
      </c>
      <c r="I10" s="354">
        <f t="shared" si="0"/>
        <v>96.7</v>
      </c>
    </row>
    <row r="11" spans="2:9">
      <c r="B11" s="50" t="s">
        <v>45</v>
      </c>
      <c r="C11" s="51">
        <v>1</v>
      </c>
      <c r="E11" s="352">
        <v>7</v>
      </c>
      <c r="F11" s="350" t="s">
        <v>322</v>
      </c>
      <c r="G11" s="353">
        <v>2</v>
      </c>
      <c r="H11" s="357">
        <f t="shared" si="1"/>
        <v>147</v>
      </c>
      <c r="I11" s="354">
        <f t="shared" si="0"/>
        <v>98</v>
      </c>
    </row>
    <row r="12" spans="2:9">
      <c r="B12" s="50" t="s">
        <v>46</v>
      </c>
      <c r="C12" s="51">
        <v>2</v>
      </c>
      <c r="E12" s="355">
        <v>8</v>
      </c>
      <c r="F12" s="350" t="s">
        <v>323</v>
      </c>
      <c r="G12" s="353">
        <v>3</v>
      </c>
      <c r="H12" s="357">
        <f t="shared" si="1"/>
        <v>150</v>
      </c>
      <c r="I12" s="354">
        <f t="shared" si="0"/>
        <v>100</v>
      </c>
    </row>
    <row r="13" spans="2:9">
      <c r="B13" s="50" t="s">
        <v>47</v>
      </c>
      <c r="C13" s="51">
        <v>5</v>
      </c>
      <c r="E13" s="565" t="s">
        <v>281</v>
      </c>
      <c r="F13" s="565"/>
      <c r="G13" s="358">
        <f>SUM(G5:G12)</f>
        <v>150</v>
      </c>
      <c r="H13" s="361" t="s">
        <v>326</v>
      </c>
      <c r="I13" s="359" t="s">
        <v>324</v>
      </c>
    </row>
    <row r="14" spans="2:9">
      <c r="B14" s="50" t="s">
        <v>48</v>
      </c>
      <c r="C14" s="51">
        <v>12</v>
      </c>
    </row>
    <row r="15" spans="2:9">
      <c r="B15" s="49" t="s">
        <v>49</v>
      </c>
      <c r="C15" s="52">
        <v>150</v>
      </c>
    </row>
  </sheetData>
  <mergeCells count="6">
    <mergeCell ref="B3:B4"/>
    <mergeCell ref="E13:F13"/>
    <mergeCell ref="G3:G4"/>
    <mergeCell ref="I3:I4"/>
    <mergeCell ref="E3:F4"/>
    <mergeCell ref="H3:H4"/>
  </mergeCells>
  <phoneticPr fontId="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A12" sqref="A12"/>
    </sheetView>
  </sheetViews>
  <sheetFormatPr defaultRowHeight="13.2"/>
  <sheetData>
    <row r="1" spans="1:4">
      <c r="A1" s="349"/>
      <c r="B1" s="350" t="s">
        <v>313</v>
      </c>
      <c r="C1" s="351" t="s">
        <v>314</v>
      </c>
      <c r="D1" s="352" t="s">
        <v>315</v>
      </c>
    </row>
    <row r="2" spans="1:4">
      <c r="A2" s="352">
        <v>1</v>
      </c>
      <c r="B2" s="350" t="s">
        <v>316</v>
      </c>
      <c r="C2" s="353">
        <v>60</v>
      </c>
      <c r="D2" s="354">
        <f>ROUND(SUM($C$2:C2)/$C$10,2)</f>
        <v>0.4</v>
      </c>
    </row>
    <row r="3" spans="1:4">
      <c r="A3" s="355">
        <v>2</v>
      </c>
      <c r="B3" s="356" t="s">
        <v>317</v>
      </c>
      <c r="C3" s="357">
        <v>34</v>
      </c>
      <c r="D3" s="354">
        <f>ROUND(SUM($C$2:C3)/$C$10,2)</f>
        <v>0.63</v>
      </c>
    </row>
    <row r="4" spans="1:4">
      <c r="A4" s="355">
        <v>3</v>
      </c>
      <c r="B4" s="356" t="s">
        <v>318</v>
      </c>
      <c r="C4" s="357">
        <v>26</v>
      </c>
      <c r="D4" s="354">
        <f>ROUND(SUM($C$2:C4)/$C$10,2)</f>
        <v>0.8</v>
      </c>
    </row>
    <row r="5" spans="1:4">
      <c r="A5" s="352">
        <v>4</v>
      </c>
      <c r="B5" s="356" t="s">
        <v>319</v>
      </c>
      <c r="C5" s="357">
        <v>12</v>
      </c>
      <c r="D5" s="354">
        <f>ROUND(SUM($C$2:C5)/$C$10,2)</f>
        <v>0.88</v>
      </c>
    </row>
    <row r="6" spans="1:4">
      <c r="A6" s="355">
        <v>5</v>
      </c>
      <c r="B6" s="350" t="s">
        <v>320</v>
      </c>
      <c r="C6" s="353">
        <v>8</v>
      </c>
      <c r="D6" s="354">
        <f>ROUND(SUM($C$2:C6)/$C$10,2)</f>
        <v>0.93</v>
      </c>
    </row>
    <row r="7" spans="1:4">
      <c r="A7" s="355">
        <v>6</v>
      </c>
      <c r="B7" s="350" t="s">
        <v>321</v>
      </c>
      <c r="C7" s="353">
        <v>5</v>
      </c>
      <c r="D7" s="354">
        <f>ROUND(SUM($C$2:C7)/$C$10,2)</f>
        <v>0.97</v>
      </c>
    </row>
    <row r="8" spans="1:4">
      <c r="A8" s="352">
        <v>7</v>
      </c>
      <c r="B8" s="350" t="s">
        <v>322</v>
      </c>
      <c r="C8" s="353">
        <v>2</v>
      </c>
      <c r="D8" s="354">
        <f>ROUND(SUM($C$2:C8)/$C$10,2)</f>
        <v>0.98</v>
      </c>
    </row>
    <row r="9" spans="1:4">
      <c r="A9" s="355">
        <v>8</v>
      </c>
      <c r="B9" s="350" t="s">
        <v>323</v>
      </c>
      <c r="C9" s="353">
        <v>3</v>
      </c>
      <c r="D9" s="354">
        <f>ROUND(SUM($C$2:C9)/$C$10,2)</f>
        <v>1</v>
      </c>
    </row>
    <row r="10" spans="1:4">
      <c r="A10" s="565" t="s">
        <v>281</v>
      </c>
      <c r="B10" s="565"/>
      <c r="C10" s="358">
        <f>SUM(C2:C9)</f>
        <v>150</v>
      </c>
      <c r="D10" s="359" t="s">
        <v>324</v>
      </c>
    </row>
  </sheetData>
  <mergeCells count="1">
    <mergeCell ref="A10:B10"/>
  </mergeCells>
  <phoneticPr fontId="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1:K11"/>
  <sheetViews>
    <sheetView workbookViewId="0"/>
  </sheetViews>
  <sheetFormatPr defaultRowHeight="13.2"/>
  <sheetData>
    <row r="1" spans="2:11" ht="13.8" thickBot="1"/>
    <row r="2" spans="2:11">
      <c r="B2" s="55">
        <v>9.8800000000000008</v>
      </c>
      <c r="C2" s="56">
        <v>9.98</v>
      </c>
      <c r="D2" s="56">
        <v>10.18</v>
      </c>
      <c r="E2" s="56">
        <v>9.94</v>
      </c>
      <c r="F2" s="56">
        <v>10.119999999999999</v>
      </c>
      <c r="G2" s="56">
        <v>9.91</v>
      </c>
      <c r="H2" s="56">
        <v>10.16</v>
      </c>
      <c r="I2" s="56">
        <v>9.8800000000000008</v>
      </c>
      <c r="J2" s="56">
        <v>10.11</v>
      </c>
      <c r="K2" s="57">
        <v>10.01</v>
      </c>
    </row>
    <row r="3" spans="2:11">
      <c r="B3" s="58">
        <v>9.85</v>
      </c>
      <c r="C3" s="59">
        <v>10.130000000000001</v>
      </c>
      <c r="D3" s="59">
        <v>10.039999999999999</v>
      </c>
      <c r="E3" s="59">
        <v>10.08</v>
      </c>
      <c r="F3" s="59">
        <v>9.9600000000000009</v>
      </c>
      <c r="G3" s="59">
        <v>9.98</v>
      </c>
      <c r="H3" s="59">
        <v>9.93</v>
      </c>
      <c r="I3" s="59">
        <v>9.9499999999999993</v>
      </c>
      <c r="J3" s="59">
        <v>9.99</v>
      </c>
      <c r="K3" s="60">
        <v>10.08</v>
      </c>
    </row>
    <row r="4" spans="2:11">
      <c r="B4" s="58">
        <v>9.81</v>
      </c>
      <c r="C4" s="59">
        <v>9.92</v>
      </c>
      <c r="D4" s="59">
        <v>9.9700000000000006</v>
      </c>
      <c r="E4" s="59">
        <v>9.76</v>
      </c>
      <c r="F4" s="59">
        <v>10.09</v>
      </c>
      <c r="G4" s="59">
        <v>9.99</v>
      </c>
      <c r="H4" s="59">
        <v>10.029999999999999</v>
      </c>
      <c r="I4" s="59">
        <v>9.8800000000000008</v>
      </c>
      <c r="J4" s="59">
        <v>10.08</v>
      </c>
      <c r="K4" s="60">
        <v>10.06</v>
      </c>
    </row>
    <row r="5" spans="2:11">
      <c r="B5" s="58">
        <v>10</v>
      </c>
      <c r="C5" s="59">
        <v>9.93</v>
      </c>
      <c r="D5" s="59">
        <v>10.08</v>
      </c>
      <c r="E5" s="59">
        <v>10.02</v>
      </c>
      <c r="F5" s="59">
        <v>10.029999999999999</v>
      </c>
      <c r="G5" s="59">
        <v>10.06</v>
      </c>
      <c r="H5" s="59">
        <v>10.14</v>
      </c>
      <c r="I5" s="59">
        <v>10.130000000000001</v>
      </c>
      <c r="J5" s="59">
        <v>9.9</v>
      </c>
      <c r="K5" s="60">
        <v>9.93</v>
      </c>
    </row>
    <row r="6" spans="2:11">
      <c r="B6" s="58">
        <v>10.130000000000001</v>
      </c>
      <c r="C6" s="59">
        <v>9.99</v>
      </c>
      <c r="D6" s="59">
        <v>10.02</v>
      </c>
      <c r="E6" s="59">
        <v>9.99</v>
      </c>
      <c r="F6" s="59">
        <v>9.94</v>
      </c>
      <c r="G6" s="59">
        <v>9.9600000000000009</v>
      </c>
      <c r="H6" s="59">
        <v>9.83</v>
      </c>
      <c r="I6" s="59">
        <v>10.050000000000001</v>
      </c>
      <c r="J6" s="59">
        <v>9.9</v>
      </c>
      <c r="K6" s="60">
        <v>9.92</v>
      </c>
    </row>
    <row r="7" spans="2:11">
      <c r="B7" s="58">
        <v>10.1</v>
      </c>
      <c r="C7" s="59">
        <v>9.8699999999999992</v>
      </c>
      <c r="D7" s="59">
        <v>10.07</v>
      </c>
      <c r="E7" s="59">
        <v>10.15</v>
      </c>
      <c r="F7" s="59">
        <v>10.02</v>
      </c>
      <c r="G7" s="59">
        <v>10.1</v>
      </c>
      <c r="H7" s="59">
        <v>10</v>
      </c>
      <c r="I7" s="59">
        <v>10.01</v>
      </c>
      <c r="J7" s="59">
        <v>9.9700000000000006</v>
      </c>
      <c r="K7" s="60">
        <v>10.24</v>
      </c>
    </row>
    <row r="8" spans="2:11">
      <c r="B8" s="58">
        <v>9.9700000000000006</v>
      </c>
      <c r="C8" s="59">
        <v>10.199999999999999</v>
      </c>
      <c r="D8" s="59">
        <v>9.8699999999999992</v>
      </c>
      <c r="E8" s="59">
        <v>10.08</v>
      </c>
      <c r="F8" s="59">
        <v>9.91</v>
      </c>
      <c r="G8" s="59">
        <v>9.98</v>
      </c>
      <c r="H8" s="59">
        <v>9.89</v>
      </c>
      <c r="I8" s="59">
        <v>10.01</v>
      </c>
      <c r="J8" s="59">
        <v>9.93</v>
      </c>
      <c r="K8" s="60">
        <v>9.86</v>
      </c>
    </row>
    <row r="9" spans="2:11">
      <c r="B9" s="58">
        <v>9.9499999999999993</v>
      </c>
      <c r="C9" s="59">
        <v>9.9</v>
      </c>
      <c r="D9" s="59">
        <v>9.98</v>
      </c>
      <c r="E9" s="59">
        <v>9.86</v>
      </c>
      <c r="F9" s="59">
        <v>10</v>
      </c>
      <c r="G9" s="59">
        <v>10.130000000000001</v>
      </c>
      <c r="H9" s="59">
        <v>9.94</v>
      </c>
      <c r="I9" s="59">
        <v>10.220000000000001</v>
      </c>
      <c r="J9" s="59">
        <v>10</v>
      </c>
      <c r="K9" s="60">
        <v>9.9499999999999993</v>
      </c>
    </row>
    <row r="10" spans="2:11">
      <c r="B10" s="58">
        <v>9.92</v>
      </c>
      <c r="C10" s="59">
        <v>10.050000000000001</v>
      </c>
      <c r="D10" s="59">
        <v>10</v>
      </c>
      <c r="E10" s="59">
        <v>9.9600000000000009</v>
      </c>
      <c r="F10" s="59">
        <v>9.9700000000000006</v>
      </c>
      <c r="G10" s="59">
        <v>9.92</v>
      </c>
      <c r="H10" s="59">
        <v>9.9499999999999993</v>
      </c>
      <c r="I10" s="59">
        <v>9.89</v>
      </c>
      <c r="J10" s="59">
        <v>10.029999999999999</v>
      </c>
      <c r="K10" s="60">
        <v>10.039999999999999</v>
      </c>
    </row>
    <row r="11" spans="2:11" ht="13.8" thickBot="1">
      <c r="B11" s="61">
        <v>10</v>
      </c>
      <c r="C11" s="62">
        <v>10.07</v>
      </c>
      <c r="D11" s="62">
        <v>9.9</v>
      </c>
      <c r="E11" s="62">
        <v>9.9700000000000006</v>
      </c>
      <c r="F11" s="62">
        <v>10</v>
      </c>
      <c r="G11" s="62">
        <v>9.99</v>
      </c>
      <c r="H11" s="62">
        <v>9.89</v>
      </c>
      <c r="I11" s="62">
        <v>10.01</v>
      </c>
      <c r="J11" s="62">
        <v>9.91</v>
      </c>
      <c r="K11" s="63">
        <v>9.9700000000000006</v>
      </c>
    </row>
  </sheetData>
  <phoneticPr fontId="2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A13" sqref="A13"/>
    </sheetView>
  </sheetViews>
  <sheetFormatPr defaultRowHeight="13.2"/>
  <sheetData>
    <row r="1" spans="1:13" ht="13.8" thickBot="1">
      <c r="A1" s="566" t="s">
        <v>328</v>
      </c>
      <c r="B1" s="567"/>
      <c r="C1" s="567"/>
      <c r="D1" s="567"/>
      <c r="E1" s="567"/>
      <c r="F1" s="567"/>
      <c r="G1" s="567"/>
      <c r="H1" s="567"/>
      <c r="I1" s="567"/>
      <c r="J1" s="568"/>
      <c r="K1" s="362"/>
      <c r="L1" s="569" t="s">
        <v>329</v>
      </c>
      <c r="M1" s="570"/>
    </row>
    <row r="2" spans="1:13">
      <c r="A2" s="55">
        <v>9.8800000000000008</v>
      </c>
      <c r="B2" s="56">
        <v>9.98</v>
      </c>
      <c r="C2" s="56">
        <v>10.18</v>
      </c>
      <c r="D2" s="56">
        <v>9.94</v>
      </c>
      <c r="E2" s="56">
        <v>10.119999999999999</v>
      </c>
      <c r="F2" s="56">
        <v>9.91</v>
      </c>
      <c r="G2" s="56">
        <v>10.16</v>
      </c>
      <c r="H2" s="56">
        <v>9.8800000000000008</v>
      </c>
      <c r="I2" s="56">
        <v>10.11</v>
      </c>
      <c r="J2" s="57">
        <v>10.01</v>
      </c>
      <c r="K2" s="362"/>
      <c r="L2" s="363" t="s">
        <v>330</v>
      </c>
      <c r="M2" s="364">
        <v>0.01</v>
      </c>
    </row>
    <row r="3" spans="1:13">
      <c r="A3" s="58">
        <v>9.85</v>
      </c>
      <c r="B3" s="59">
        <v>10.130000000000001</v>
      </c>
      <c r="C3" s="59">
        <v>10.039999999999999</v>
      </c>
      <c r="D3" s="59">
        <v>10.08</v>
      </c>
      <c r="E3" s="59">
        <v>9.9600000000000009</v>
      </c>
      <c r="F3" s="59">
        <v>9.98</v>
      </c>
      <c r="G3" s="59">
        <v>9.93</v>
      </c>
      <c r="H3" s="59">
        <v>9.9499999999999993</v>
      </c>
      <c r="I3" s="59">
        <v>9.99</v>
      </c>
      <c r="J3" s="60">
        <v>10.08</v>
      </c>
      <c r="K3" s="362"/>
      <c r="L3" s="365" t="s">
        <v>331</v>
      </c>
      <c r="M3" s="366">
        <f>COUNT(A2:J11)</f>
        <v>100</v>
      </c>
    </row>
    <row r="4" spans="1:13">
      <c r="A4" s="58">
        <v>9.81</v>
      </c>
      <c r="B4" s="59">
        <v>9.92</v>
      </c>
      <c r="C4" s="59">
        <v>9.9700000000000006</v>
      </c>
      <c r="D4" s="59">
        <v>9.76</v>
      </c>
      <c r="E4" s="59">
        <v>10.09</v>
      </c>
      <c r="F4" s="59">
        <v>9.99</v>
      </c>
      <c r="G4" s="59">
        <v>10.029999999999999</v>
      </c>
      <c r="H4" s="59">
        <v>9.8800000000000008</v>
      </c>
      <c r="I4" s="59">
        <v>10.08</v>
      </c>
      <c r="J4" s="60">
        <v>10.06</v>
      </c>
      <c r="K4" s="362"/>
      <c r="L4" s="365" t="s">
        <v>332</v>
      </c>
      <c r="M4" s="366">
        <f>MAX(A2:J11)</f>
        <v>10.24</v>
      </c>
    </row>
    <row r="5" spans="1:13">
      <c r="A5" s="58">
        <v>10</v>
      </c>
      <c r="B5" s="59">
        <v>9.93</v>
      </c>
      <c r="C5" s="59">
        <v>10.08</v>
      </c>
      <c r="D5" s="59">
        <v>10.02</v>
      </c>
      <c r="E5" s="59">
        <v>10.029999999999999</v>
      </c>
      <c r="F5" s="59">
        <v>10.06</v>
      </c>
      <c r="G5" s="59">
        <v>10.14</v>
      </c>
      <c r="H5" s="59">
        <v>10.130000000000001</v>
      </c>
      <c r="I5" s="59">
        <v>9.9</v>
      </c>
      <c r="J5" s="60">
        <v>9.93</v>
      </c>
      <c r="K5" s="362"/>
      <c r="L5" s="365" t="s">
        <v>333</v>
      </c>
      <c r="M5" s="366">
        <f>MIN(A2:J11)</f>
        <v>9.76</v>
      </c>
    </row>
    <row r="6" spans="1:13">
      <c r="A6" s="58">
        <v>10.130000000000001</v>
      </c>
      <c r="B6" s="59">
        <v>9.99</v>
      </c>
      <c r="C6" s="59">
        <v>10.02</v>
      </c>
      <c r="D6" s="59">
        <v>9.99</v>
      </c>
      <c r="E6" s="59">
        <v>9.94</v>
      </c>
      <c r="F6" s="59">
        <v>9.9600000000000009</v>
      </c>
      <c r="G6" s="59">
        <v>9.83</v>
      </c>
      <c r="H6" s="59">
        <v>10.050000000000001</v>
      </c>
      <c r="I6" s="59">
        <v>9.9</v>
      </c>
      <c r="J6" s="60">
        <v>9.92</v>
      </c>
      <c r="K6" s="362"/>
      <c r="L6" s="365" t="s">
        <v>334</v>
      </c>
      <c r="M6" s="366">
        <f>M4-M5</f>
        <v>0.48000000000000043</v>
      </c>
    </row>
    <row r="7" spans="1:13">
      <c r="A7" s="58">
        <v>10.1</v>
      </c>
      <c r="B7" s="59">
        <v>9.8699999999999992</v>
      </c>
      <c r="C7" s="59">
        <v>10.07</v>
      </c>
      <c r="D7" s="59">
        <v>10.15</v>
      </c>
      <c r="E7" s="59">
        <v>10.02</v>
      </c>
      <c r="F7" s="59">
        <v>10.1</v>
      </c>
      <c r="G7" s="59">
        <v>10</v>
      </c>
      <c r="H7" s="59">
        <v>10.01</v>
      </c>
      <c r="I7" s="59">
        <v>9.9700000000000006</v>
      </c>
      <c r="J7" s="60">
        <v>10.24</v>
      </c>
      <c r="K7" s="362"/>
      <c r="L7" s="365" t="s">
        <v>335</v>
      </c>
      <c r="M7" s="366">
        <f>SQRT(M3)</f>
        <v>10</v>
      </c>
    </row>
    <row r="8" spans="1:13">
      <c r="A8" s="58">
        <v>9.9700000000000006</v>
      </c>
      <c r="B8" s="59">
        <v>10.199999999999999</v>
      </c>
      <c r="C8" s="59">
        <v>9.8699999999999992</v>
      </c>
      <c r="D8" s="59">
        <v>10.08</v>
      </c>
      <c r="E8" s="59">
        <v>9.91</v>
      </c>
      <c r="F8" s="59">
        <v>9.98</v>
      </c>
      <c r="G8" s="59">
        <v>9.89</v>
      </c>
      <c r="H8" s="59">
        <v>10.01</v>
      </c>
      <c r="I8" s="59">
        <v>9.93</v>
      </c>
      <c r="J8" s="60">
        <v>9.86</v>
      </c>
      <c r="K8" s="367"/>
      <c r="L8" s="365" t="s">
        <v>336</v>
      </c>
      <c r="M8" s="366">
        <f>M6/M7</f>
        <v>4.8000000000000043E-2</v>
      </c>
    </row>
    <row r="9" spans="1:13" ht="13.8" thickBot="1">
      <c r="A9" s="58">
        <v>9.9499999999999993</v>
      </c>
      <c r="B9" s="59">
        <v>9.9</v>
      </c>
      <c r="C9" s="59">
        <v>9.98</v>
      </c>
      <c r="D9" s="59">
        <v>9.86</v>
      </c>
      <c r="E9" s="59">
        <v>10</v>
      </c>
      <c r="F9" s="59">
        <v>10.130000000000001</v>
      </c>
      <c r="G9" s="59">
        <v>9.94</v>
      </c>
      <c r="H9" s="59">
        <v>10.220000000000001</v>
      </c>
      <c r="I9" s="59">
        <v>10</v>
      </c>
      <c r="J9" s="60">
        <v>9.9499999999999993</v>
      </c>
      <c r="K9" s="362"/>
      <c r="L9" s="368" t="s">
        <v>337</v>
      </c>
      <c r="M9" s="369">
        <f>ROUNDUP(M8,2)</f>
        <v>0.05</v>
      </c>
    </row>
    <row r="10" spans="1:13">
      <c r="A10" s="58">
        <v>9.92</v>
      </c>
      <c r="B10" s="59">
        <v>10.050000000000001</v>
      </c>
      <c r="C10" s="59">
        <v>10</v>
      </c>
      <c r="D10" s="59">
        <v>9.9600000000000009</v>
      </c>
      <c r="E10" s="59">
        <v>9.9700000000000006</v>
      </c>
      <c r="F10" s="59">
        <v>9.92</v>
      </c>
      <c r="G10" s="59">
        <v>9.9499999999999993</v>
      </c>
      <c r="H10" s="59">
        <v>9.89</v>
      </c>
      <c r="I10" s="59">
        <v>10.029999999999999</v>
      </c>
      <c r="J10" s="60">
        <v>10.039999999999999</v>
      </c>
      <c r="K10" s="362"/>
      <c r="L10" s="362"/>
      <c r="M10" s="362"/>
    </row>
    <row r="11" spans="1:13" ht="13.8" thickBot="1">
      <c r="A11" s="61">
        <v>10</v>
      </c>
      <c r="B11" s="62">
        <v>10.07</v>
      </c>
      <c r="C11" s="62">
        <v>9.9</v>
      </c>
      <c r="D11" s="62">
        <v>9.9700000000000006</v>
      </c>
      <c r="E11" s="62">
        <v>10</v>
      </c>
      <c r="F11" s="62">
        <v>9.99</v>
      </c>
      <c r="G11" s="62">
        <v>9.89</v>
      </c>
      <c r="H11" s="62">
        <v>10.01</v>
      </c>
      <c r="I11" s="62">
        <v>9.91</v>
      </c>
      <c r="J11" s="63">
        <v>9.9700000000000006</v>
      </c>
      <c r="K11" s="362"/>
      <c r="L11" s="362"/>
      <c r="M11" s="362"/>
    </row>
  </sheetData>
  <mergeCells count="2">
    <mergeCell ref="A1:J1"/>
    <mergeCell ref="L1:M1"/>
  </mergeCells>
  <phoneticPr fontId="2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1"/>
  <sheetViews>
    <sheetView topLeftCell="I1" workbookViewId="0">
      <selection activeCell="I13" sqref="I13"/>
    </sheetView>
  </sheetViews>
  <sheetFormatPr defaultRowHeight="13.2"/>
  <sheetData>
    <row r="1" spans="1:20" ht="13.8" thickBot="1">
      <c r="A1" s="566" t="s">
        <v>328</v>
      </c>
      <c r="B1" s="567"/>
      <c r="C1" s="567"/>
      <c r="D1" s="567"/>
      <c r="E1" s="567"/>
      <c r="F1" s="567"/>
      <c r="G1" s="567"/>
      <c r="H1" s="567"/>
      <c r="I1" s="567"/>
      <c r="J1" s="568"/>
      <c r="K1" s="362"/>
      <c r="L1" s="571" t="s">
        <v>329</v>
      </c>
      <c r="M1" s="571"/>
      <c r="N1" s="362"/>
      <c r="O1" s="362"/>
      <c r="P1" s="370" t="s">
        <v>338</v>
      </c>
      <c r="Q1" s="371" t="s">
        <v>339</v>
      </c>
      <c r="R1" s="371" t="s">
        <v>340</v>
      </c>
      <c r="S1" s="372" t="s">
        <v>341</v>
      </c>
      <c r="T1" s="373" t="s">
        <v>342</v>
      </c>
    </row>
    <row r="2" spans="1:20" ht="13.8" thickTop="1">
      <c r="A2" s="55">
        <v>9.8800000000000008</v>
      </c>
      <c r="B2" s="56">
        <v>9.98</v>
      </c>
      <c r="C2" s="56">
        <v>10.18</v>
      </c>
      <c r="D2" s="56">
        <v>9.94</v>
      </c>
      <c r="E2" s="56">
        <v>10.119999999999999</v>
      </c>
      <c r="F2" s="56">
        <v>9.91</v>
      </c>
      <c r="G2" s="56">
        <v>10.16</v>
      </c>
      <c r="H2" s="56">
        <v>9.8800000000000008</v>
      </c>
      <c r="I2" s="56">
        <v>10.11</v>
      </c>
      <c r="J2" s="57">
        <v>10.01</v>
      </c>
      <c r="K2" s="362"/>
      <c r="L2" s="374" t="s">
        <v>330</v>
      </c>
      <c r="M2" s="374">
        <v>0.01</v>
      </c>
      <c r="N2" s="375"/>
      <c r="O2" s="362"/>
      <c r="P2" s="376" t="s">
        <v>343</v>
      </c>
      <c r="Q2" s="377">
        <f>M5-M2/2</f>
        <v>9.754999999999999</v>
      </c>
      <c r="R2" s="377">
        <f>Q2+$M$9</f>
        <v>9.8049999999999997</v>
      </c>
      <c r="S2" s="377">
        <f>(Q2+R2)/2</f>
        <v>9.7799999999999994</v>
      </c>
      <c r="T2" s="378">
        <f t="array" ref="T2:T11">FREQUENCY(A2:J11,R2:R11)</f>
        <v>1</v>
      </c>
    </row>
    <row r="3" spans="1:20">
      <c r="A3" s="58">
        <v>9.85</v>
      </c>
      <c r="B3" s="59">
        <v>10.130000000000001</v>
      </c>
      <c r="C3" s="59">
        <v>10.039999999999999</v>
      </c>
      <c r="D3" s="59">
        <v>10.08</v>
      </c>
      <c r="E3" s="59">
        <v>9.9600000000000009</v>
      </c>
      <c r="F3" s="59">
        <v>9.98</v>
      </c>
      <c r="G3" s="59">
        <v>9.93</v>
      </c>
      <c r="H3" s="59">
        <v>9.9499999999999993</v>
      </c>
      <c r="I3" s="59">
        <v>9.99</v>
      </c>
      <c r="J3" s="60">
        <v>10.08</v>
      </c>
      <c r="K3" s="362"/>
      <c r="L3" s="374" t="s">
        <v>331</v>
      </c>
      <c r="M3" s="374">
        <f>COUNT(A2:J11)</f>
        <v>100</v>
      </c>
      <c r="N3" s="379" t="s">
        <v>344</v>
      </c>
      <c r="O3" s="362"/>
      <c r="P3" s="365" t="s">
        <v>345</v>
      </c>
      <c r="Q3" s="380">
        <f>Q2+$M$9</f>
        <v>9.8049999999999997</v>
      </c>
      <c r="R3" s="380">
        <f t="shared" ref="R3:R11" si="0">Q3+$M$9</f>
        <v>9.8550000000000004</v>
      </c>
      <c r="S3" s="380">
        <f>(Q3+R3)/2</f>
        <v>9.83</v>
      </c>
      <c r="T3" s="366">
        <v>3</v>
      </c>
    </row>
    <row r="4" spans="1:20">
      <c r="A4" s="58">
        <v>9.81</v>
      </c>
      <c r="B4" s="59">
        <v>9.92</v>
      </c>
      <c r="C4" s="59">
        <v>9.9700000000000006</v>
      </c>
      <c r="D4" s="59">
        <v>9.76</v>
      </c>
      <c r="E4" s="59">
        <v>10.09</v>
      </c>
      <c r="F4" s="59">
        <v>9.99</v>
      </c>
      <c r="G4" s="59">
        <v>10.029999999999999</v>
      </c>
      <c r="H4" s="59">
        <v>9.8800000000000008</v>
      </c>
      <c r="I4" s="59">
        <v>10.08</v>
      </c>
      <c r="J4" s="60">
        <v>10.06</v>
      </c>
      <c r="K4" s="362"/>
      <c r="L4" s="374" t="s">
        <v>332</v>
      </c>
      <c r="M4" s="374">
        <f>MAX(A2:J11)</f>
        <v>10.24</v>
      </c>
      <c r="N4" s="379" t="s">
        <v>346</v>
      </c>
      <c r="O4" s="362"/>
      <c r="P4" s="365" t="s">
        <v>347</v>
      </c>
      <c r="Q4" s="380">
        <f t="shared" ref="Q4:Q11" si="1">Q3+$M$9</f>
        <v>9.8550000000000004</v>
      </c>
      <c r="R4" s="380">
        <f t="shared" si="0"/>
        <v>9.9050000000000011</v>
      </c>
      <c r="S4" s="380">
        <f t="shared" ref="S4:S11" si="2">(Q4+R4)/2</f>
        <v>9.8800000000000008</v>
      </c>
      <c r="T4" s="366">
        <v>14</v>
      </c>
    </row>
    <row r="5" spans="1:20">
      <c r="A5" s="58">
        <v>10</v>
      </c>
      <c r="B5" s="59">
        <v>9.93</v>
      </c>
      <c r="C5" s="59">
        <v>10.08</v>
      </c>
      <c r="D5" s="59">
        <v>10.02</v>
      </c>
      <c r="E5" s="59">
        <v>10.029999999999999</v>
      </c>
      <c r="F5" s="59">
        <v>10.06</v>
      </c>
      <c r="G5" s="59">
        <v>10.14</v>
      </c>
      <c r="H5" s="59">
        <v>10.130000000000001</v>
      </c>
      <c r="I5" s="59">
        <v>9.9</v>
      </c>
      <c r="J5" s="60">
        <v>9.93</v>
      </c>
      <c r="K5" s="362"/>
      <c r="L5" s="374" t="s">
        <v>333</v>
      </c>
      <c r="M5" s="374">
        <f>MIN(A2:J11)</f>
        <v>9.76</v>
      </c>
      <c r="N5" s="379" t="s">
        <v>348</v>
      </c>
      <c r="O5" s="362"/>
      <c r="P5" s="365" t="s">
        <v>349</v>
      </c>
      <c r="Q5" s="380">
        <f t="shared" si="1"/>
        <v>9.9050000000000011</v>
      </c>
      <c r="R5" s="380">
        <f t="shared" si="0"/>
        <v>9.9550000000000018</v>
      </c>
      <c r="S5" s="380">
        <f t="shared" si="2"/>
        <v>9.9300000000000015</v>
      </c>
      <c r="T5" s="366">
        <v>18</v>
      </c>
    </row>
    <row r="6" spans="1:20">
      <c r="A6" s="58">
        <v>10.130000000000001</v>
      </c>
      <c r="B6" s="59">
        <v>9.99</v>
      </c>
      <c r="C6" s="59">
        <v>10.02</v>
      </c>
      <c r="D6" s="59">
        <v>9.99</v>
      </c>
      <c r="E6" s="59">
        <v>9.94</v>
      </c>
      <c r="F6" s="59">
        <v>9.9600000000000009</v>
      </c>
      <c r="G6" s="59">
        <v>9.83</v>
      </c>
      <c r="H6" s="59">
        <v>10.050000000000001</v>
      </c>
      <c r="I6" s="59">
        <v>9.9</v>
      </c>
      <c r="J6" s="60">
        <v>9.92</v>
      </c>
      <c r="K6" s="362"/>
      <c r="L6" s="374" t="s">
        <v>334</v>
      </c>
      <c r="M6" s="374">
        <f>M4-M5</f>
        <v>0.48000000000000043</v>
      </c>
      <c r="N6" s="379" t="s">
        <v>350</v>
      </c>
      <c r="O6" s="362"/>
      <c r="P6" s="365" t="s">
        <v>351</v>
      </c>
      <c r="Q6" s="380">
        <f t="shared" si="1"/>
        <v>9.9550000000000018</v>
      </c>
      <c r="R6" s="380">
        <f t="shared" si="0"/>
        <v>10.005000000000003</v>
      </c>
      <c r="S6" s="380">
        <f t="shared" si="2"/>
        <v>9.9800000000000022</v>
      </c>
      <c r="T6" s="366">
        <v>25</v>
      </c>
    </row>
    <row r="7" spans="1:20">
      <c r="A7" s="58">
        <v>10.1</v>
      </c>
      <c r="B7" s="59">
        <v>9.8699999999999992</v>
      </c>
      <c r="C7" s="59">
        <v>10.07</v>
      </c>
      <c r="D7" s="59">
        <v>10.15</v>
      </c>
      <c r="E7" s="59">
        <v>10.02</v>
      </c>
      <c r="F7" s="59">
        <v>10.1</v>
      </c>
      <c r="G7" s="59">
        <v>10</v>
      </c>
      <c r="H7" s="59">
        <v>10.01</v>
      </c>
      <c r="I7" s="59">
        <v>9.9700000000000006</v>
      </c>
      <c r="J7" s="60">
        <v>10.24</v>
      </c>
      <c r="K7" s="362"/>
      <c r="L7" s="374" t="s">
        <v>335</v>
      </c>
      <c r="M7" s="374">
        <f>SQRT(M3)</f>
        <v>10</v>
      </c>
      <c r="N7" s="379" t="s">
        <v>352</v>
      </c>
      <c r="O7" s="362"/>
      <c r="P7" s="365" t="s">
        <v>353</v>
      </c>
      <c r="Q7" s="380">
        <f t="shared" si="1"/>
        <v>10.005000000000003</v>
      </c>
      <c r="R7" s="380">
        <f t="shared" si="0"/>
        <v>10.055000000000003</v>
      </c>
      <c r="S7" s="380">
        <f t="shared" si="2"/>
        <v>10.030000000000003</v>
      </c>
      <c r="T7" s="366">
        <v>14</v>
      </c>
    </row>
    <row r="8" spans="1:20">
      <c r="A8" s="58">
        <v>9.9700000000000006</v>
      </c>
      <c r="B8" s="59">
        <v>10.199999999999999</v>
      </c>
      <c r="C8" s="59">
        <v>9.8699999999999992</v>
      </c>
      <c r="D8" s="59">
        <v>10.08</v>
      </c>
      <c r="E8" s="59">
        <v>9.91</v>
      </c>
      <c r="F8" s="59">
        <v>9.98</v>
      </c>
      <c r="G8" s="59">
        <v>9.89</v>
      </c>
      <c r="H8" s="59">
        <v>10.01</v>
      </c>
      <c r="I8" s="59">
        <v>9.93</v>
      </c>
      <c r="J8" s="60">
        <v>9.86</v>
      </c>
      <c r="K8" s="367"/>
      <c r="L8" s="374" t="s">
        <v>336</v>
      </c>
      <c r="M8" s="374">
        <f>M6/M7</f>
        <v>4.8000000000000043E-2</v>
      </c>
      <c r="N8" s="379" t="s">
        <v>354</v>
      </c>
      <c r="O8" s="362"/>
      <c r="P8" s="365" t="s">
        <v>355</v>
      </c>
      <c r="Q8" s="380">
        <f t="shared" si="1"/>
        <v>10.055000000000003</v>
      </c>
      <c r="R8" s="380">
        <f t="shared" si="0"/>
        <v>10.105000000000004</v>
      </c>
      <c r="S8" s="380">
        <f t="shared" si="2"/>
        <v>10.080000000000004</v>
      </c>
      <c r="T8" s="366">
        <v>12</v>
      </c>
    </row>
    <row r="9" spans="1:20">
      <c r="A9" s="58">
        <v>9.9499999999999993</v>
      </c>
      <c r="B9" s="59">
        <v>9.9</v>
      </c>
      <c r="C9" s="59">
        <v>9.98</v>
      </c>
      <c r="D9" s="59">
        <v>9.86</v>
      </c>
      <c r="E9" s="59">
        <v>10</v>
      </c>
      <c r="F9" s="59">
        <v>10.130000000000001</v>
      </c>
      <c r="G9" s="59">
        <v>9.94</v>
      </c>
      <c r="H9" s="59">
        <v>10.220000000000001</v>
      </c>
      <c r="I9" s="59">
        <v>10</v>
      </c>
      <c r="J9" s="60">
        <v>9.9499999999999993</v>
      </c>
      <c r="K9" s="362"/>
      <c r="L9" s="374" t="s">
        <v>337</v>
      </c>
      <c r="M9" s="374">
        <f>ROUNDUP(M8,2)</f>
        <v>0.05</v>
      </c>
      <c r="N9" s="379" t="s">
        <v>356</v>
      </c>
      <c r="O9" s="362"/>
      <c r="P9" s="365" t="s">
        <v>357</v>
      </c>
      <c r="Q9" s="380">
        <f t="shared" si="1"/>
        <v>10.105000000000004</v>
      </c>
      <c r="R9" s="380">
        <f t="shared" si="0"/>
        <v>10.155000000000005</v>
      </c>
      <c r="S9" s="380">
        <f t="shared" si="2"/>
        <v>10.130000000000004</v>
      </c>
      <c r="T9" s="366">
        <v>8</v>
      </c>
    </row>
    <row r="10" spans="1:20">
      <c r="A10" s="58">
        <v>9.92</v>
      </c>
      <c r="B10" s="59">
        <v>10.050000000000001</v>
      </c>
      <c r="C10" s="59">
        <v>10</v>
      </c>
      <c r="D10" s="59">
        <v>9.9600000000000009</v>
      </c>
      <c r="E10" s="59">
        <v>9.9700000000000006</v>
      </c>
      <c r="F10" s="59">
        <v>9.92</v>
      </c>
      <c r="G10" s="59">
        <v>9.9499999999999993</v>
      </c>
      <c r="H10" s="59">
        <v>9.89</v>
      </c>
      <c r="I10" s="59">
        <v>10.029999999999999</v>
      </c>
      <c r="J10" s="60">
        <v>10.039999999999999</v>
      </c>
      <c r="K10" s="362"/>
      <c r="L10" s="362"/>
      <c r="M10" s="362"/>
      <c r="N10" s="362"/>
      <c r="O10" s="362"/>
      <c r="P10" s="365" t="s">
        <v>358</v>
      </c>
      <c r="Q10" s="380">
        <f t="shared" si="1"/>
        <v>10.155000000000005</v>
      </c>
      <c r="R10" s="380">
        <f t="shared" si="0"/>
        <v>10.205000000000005</v>
      </c>
      <c r="S10" s="380">
        <f t="shared" si="2"/>
        <v>10.180000000000005</v>
      </c>
      <c r="T10" s="366">
        <v>3</v>
      </c>
    </row>
    <row r="11" spans="1:20" ht="13.8" thickBot="1">
      <c r="A11" s="61">
        <v>10</v>
      </c>
      <c r="B11" s="62">
        <v>10.07</v>
      </c>
      <c r="C11" s="62">
        <v>9.9</v>
      </c>
      <c r="D11" s="62">
        <v>9.9700000000000006</v>
      </c>
      <c r="E11" s="62">
        <v>10</v>
      </c>
      <c r="F11" s="62">
        <v>9.99</v>
      </c>
      <c r="G11" s="62">
        <v>9.89</v>
      </c>
      <c r="H11" s="62">
        <v>10.01</v>
      </c>
      <c r="I11" s="62">
        <v>9.91</v>
      </c>
      <c r="J11" s="63">
        <v>9.9700000000000006</v>
      </c>
      <c r="K11" s="362"/>
      <c r="L11" s="362"/>
      <c r="M11" s="362"/>
      <c r="N11" s="362"/>
      <c r="O11" s="362"/>
      <c r="P11" s="368" t="s">
        <v>359</v>
      </c>
      <c r="Q11" s="381">
        <f t="shared" si="1"/>
        <v>10.205000000000005</v>
      </c>
      <c r="R11" s="381">
        <f t="shared" si="0"/>
        <v>10.255000000000006</v>
      </c>
      <c r="S11" s="381">
        <f t="shared" si="2"/>
        <v>10.230000000000006</v>
      </c>
      <c r="T11" s="369">
        <v>2</v>
      </c>
    </row>
  </sheetData>
  <mergeCells count="2">
    <mergeCell ref="A1:J1"/>
    <mergeCell ref="L1:M1"/>
  </mergeCells>
  <phoneticPr fontId="2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B2:E14"/>
  <sheetViews>
    <sheetView workbookViewId="0"/>
  </sheetViews>
  <sheetFormatPr defaultRowHeight="13.2"/>
  <sheetData>
    <row r="2" spans="2:5">
      <c r="B2" s="67"/>
      <c r="C2" s="68" t="s">
        <v>50</v>
      </c>
      <c r="D2" s="68" t="s">
        <v>51</v>
      </c>
      <c r="E2" s="68" t="s">
        <v>52</v>
      </c>
    </row>
    <row r="3" spans="2:5">
      <c r="B3" s="64">
        <v>1</v>
      </c>
      <c r="C3" s="51">
        <v>64</v>
      </c>
      <c r="D3" s="51">
        <v>74</v>
      </c>
      <c r="E3" s="51">
        <v>68</v>
      </c>
    </row>
    <row r="4" spans="2:5">
      <c r="B4" s="64">
        <v>2</v>
      </c>
      <c r="C4" s="51">
        <v>71</v>
      </c>
      <c r="D4" s="51">
        <v>71</v>
      </c>
      <c r="E4" s="51">
        <v>76</v>
      </c>
    </row>
    <row r="5" spans="2:5">
      <c r="B5" s="64">
        <v>3</v>
      </c>
      <c r="C5" s="51">
        <v>80</v>
      </c>
      <c r="D5" s="51">
        <v>80</v>
      </c>
      <c r="E5" s="51">
        <v>64</v>
      </c>
    </row>
    <row r="6" spans="2:5">
      <c r="B6" s="64">
        <v>4</v>
      </c>
      <c r="C6" s="51">
        <v>80</v>
      </c>
      <c r="D6" s="51">
        <v>76</v>
      </c>
      <c r="E6" s="51">
        <v>78</v>
      </c>
    </row>
    <row r="7" spans="2:5">
      <c r="B7" s="64">
        <v>5</v>
      </c>
      <c r="C7" s="51">
        <v>90</v>
      </c>
      <c r="D7" s="51">
        <v>82</v>
      </c>
      <c r="E7" s="51">
        <v>74</v>
      </c>
    </row>
    <row r="8" spans="2:5">
      <c r="B8" s="64">
        <v>6</v>
      </c>
      <c r="C8" s="51">
        <v>78</v>
      </c>
      <c r="D8" s="51">
        <v>80</v>
      </c>
      <c r="E8" s="51">
        <v>66</v>
      </c>
    </row>
    <row r="9" spans="2:5">
      <c r="B9" s="64">
        <v>7</v>
      </c>
      <c r="C9" s="51">
        <v>72</v>
      </c>
      <c r="D9" s="51">
        <v>72</v>
      </c>
      <c r="E9" s="51">
        <v>70</v>
      </c>
    </row>
    <row r="10" spans="2:5">
      <c r="B10" s="64">
        <v>8</v>
      </c>
      <c r="C10" s="51">
        <v>72</v>
      </c>
      <c r="D10" s="51">
        <v>76</v>
      </c>
      <c r="E10" s="51">
        <v>64</v>
      </c>
    </row>
    <row r="11" spans="2:5">
      <c r="B11" s="64">
        <v>9</v>
      </c>
      <c r="C11" s="51">
        <v>62</v>
      </c>
      <c r="D11" s="51">
        <v>66</v>
      </c>
      <c r="E11" s="51">
        <v>78</v>
      </c>
    </row>
    <row r="12" spans="2:5">
      <c r="B12" s="64">
        <v>10</v>
      </c>
      <c r="C12" s="51">
        <v>76</v>
      </c>
      <c r="D12" s="51">
        <v>78</v>
      </c>
      <c r="E12" s="51">
        <v>72</v>
      </c>
    </row>
    <row r="13" spans="2:5">
      <c r="B13" s="64">
        <v>11</v>
      </c>
      <c r="C13" s="51">
        <v>64</v>
      </c>
      <c r="D13" s="51">
        <v>70</v>
      </c>
      <c r="E13" s="51">
        <v>70</v>
      </c>
    </row>
    <row r="14" spans="2:5">
      <c r="B14" s="66" t="s">
        <v>53</v>
      </c>
      <c r="C14" s="69">
        <f>ROUND(AVERAGE(C3:C13),1)</f>
        <v>73.5</v>
      </c>
      <c r="D14" s="69">
        <f t="shared" ref="D14:E14" si="0">ROUND(AVERAGE(D3:D13),1)</f>
        <v>75</v>
      </c>
      <c r="E14" s="66">
        <f t="shared" si="0"/>
        <v>70.900000000000006</v>
      </c>
    </row>
  </sheetData>
  <phoneticPr fontId="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B2:D14"/>
  <sheetViews>
    <sheetView workbookViewId="0"/>
  </sheetViews>
  <sheetFormatPr defaultRowHeight="13.2"/>
  <sheetData>
    <row r="2" spans="2:4">
      <c r="B2" s="67"/>
      <c r="C2" s="68" t="s">
        <v>50</v>
      </c>
      <c r="D2" s="68" t="s">
        <v>51</v>
      </c>
    </row>
    <row r="3" spans="2:4">
      <c r="B3" s="64">
        <v>1</v>
      </c>
      <c r="C3" s="51">
        <v>64</v>
      </c>
      <c r="D3" s="51">
        <v>74</v>
      </c>
    </row>
    <row r="4" spans="2:4">
      <c r="B4" s="64">
        <v>2</v>
      </c>
      <c r="C4" s="51">
        <v>71</v>
      </c>
      <c r="D4" s="51">
        <v>71</v>
      </c>
    </row>
    <row r="5" spans="2:4">
      <c r="B5" s="64">
        <v>3</v>
      </c>
      <c r="C5" s="51">
        <v>80</v>
      </c>
      <c r="D5" s="51">
        <v>80</v>
      </c>
    </row>
    <row r="6" spans="2:4">
      <c r="B6" s="64">
        <v>4</v>
      </c>
      <c r="C6" s="51">
        <v>80</v>
      </c>
      <c r="D6" s="51">
        <v>76</v>
      </c>
    </row>
    <row r="7" spans="2:4">
      <c r="B7" s="64">
        <v>5</v>
      </c>
      <c r="C7" s="51">
        <v>90</v>
      </c>
      <c r="D7" s="51">
        <v>82</v>
      </c>
    </row>
    <row r="8" spans="2:4">
      <c r="B8" s="64">
        <v>6</v>
      </c>
      <c r="C8" s="51">
        <v>78</v>
      </c>
      <c r="D8" s="51">
        <v>80</v>
      </c>
    </row>
    <row r="9" spans="2:4">
      <c r="B9" s="64">
        <v>7</v>
      </c>
      <c r="C9" s="51">
        <v>72</v>
      </c>
      <c r="D9" s="51">
        <v>72</v>
      </c>
    </row>
    <row r="10" spans="2:4">
      <c r="B10" s="64">
        <v>8</v>
      </c>
      <c r="C10" s="51">
        <v>72</v>
      </c>
      <c r="D10" s="51">
        <v>76</v>
      </c>
    </row>
    <row r="11" spans="2:4">
      <c r="B11" s="64">
        <v>9</v>
      </c>
      <c r="C11" s="51">
        <v>62</v>
      </c>
      <c r="D11" s="51">
        <v>66</v>
      </c>
    </row>
    <row r="12" spans="2:4">
      <c r="B12" s="64">
        <v>10</v>
      </c>
      <c r="C12" s="51">
        <v>76</v>
      </c>
      <c r="D12" s="51">
        <v>78</v>
      </c>
    </row>
    <row r="13" spans="2:4">
      <c r="B13" s="64">
        <v>11</v>
      </c>
      <c r="C13" s="51">
        <v>64</v>
      </c>
      <c r="D13" s="51">
        <v>70</v>
      </c>
    </row>
    <row r="14" spans="2:4">
      <c r="B14" s="284" t="s">
        <v>53</v>
      </c>
      <c r="C14" s="69">
        <f>ROUND(AVERAGE(C3:C13),1)</f>
        <v>73.5</v>
      </c>
      <c r="D14" s="69">
        <f t="shared" ref="D14" si="0">ROUND(AVERAGE(D3:D13),1)</f>
        <v>75</v>
      </c>
    </row>
  </sheetData>
  <phoneticPr fontId="2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B1:E19"/>
  <sheetViews>
    <sheetView workbookViewId="0"/>
  </sheetViews>
  <sheetFormatPr defaultRowHeight="13.2"/>
  <cols>
    <col min="2" max="2" width="38.21875" bestFit="1" customWidth="1"/>
    <col min="3" max="3" width="7.6640625" bestFit="1" customWidth="1"/>
    <col min="4" max="4" width="11.109375" bestFit="1" customWidth="1"/>
    <col min="5" max="5" width="10" bestFit="1" customWidth="1"/>
  </cols>
  <sheetData>
    <row r="1" spans="2:5" ht="13.8" thickBot="1"/>
    <row r="2" spans="2:5" ht="40.200000000000003" thickBot="1">
      <c r="B2" s="10" t="s">
        <v>54</v>
      </c>
      <c r="C2" s="70" t="s">
        <v>55</v>
      </c>
      <c r="D2" s="70" t="s">
        <v>56</v>
      </c>
      <c r="E2" s="71" t="s">
        <v>57</v>
      </c>
    </row>
    <row r="3" spans="2:5" ht="13.8" thickTop="1">
      <c r="B3" s="72" t="s">
        <v>58</v>
      </c>
      <c r="C3" s="73">
        <v>24883</v>
      </c>
      <c r="D3" s="73">
        <v>4993854</v>
      </c>
      <c r="E3" s="74">
        <v>1178680</v>
      </c>
    </row>
    <row r="4" spans="2:5">
      <c r="B4" s="75" t="s">
        <v>59</v>
      </c>
      <c r="C4" s="76">
        <v>1294</v>
      </c>
      <c r="D4" s="76">
        <v>2044079</v>
      </c>
      <c r="E4" s="77">
        <v>662424</v>
      </c>
    </row>
    <row r="5" spans="2:5">
      <c r="B5" s="75" t="s">
        <v>60</v>
      </c>
      <c r="C5" s="76">
        <v>409536</v>
      </c>
      <c r="D5" s="76">
        <v>108450918</v>
      </c>
      <c r="E5" s="77">
        <v>20820738</v>
      </c>
    </row>
    <row r="6" spans="2:5">
      <c r="B6" s="75" t="s">
        <v>61</v>
      </c>
      <c r="C6" s="76">
        <v>366065</v>
      </c>
      <c r="D6" s="76">
        <v>396275421</v>
      </c>
      <c r="E6" s="77">
        <v>68789093</v>
      </c>
    </row>
    <row r="7" spans="2:5">
      <c r="B7" s="75" t="s">
        <v>62</v>
      </c>
      <c r="C7" s="76">
        <v>1013</v>
      </c>
      <c r="D7" s="76">
        <v>26242446</v>
      </c>
      <c r="E7" s="77">
        <v>4023034</v>
      </c>
    </row>
    <row r="8" spans="2:5">
      <c r="B8" s="75" t="s">
        <v>63</v>
      </c>
      <c r="C8" s="76">
        <v>38218</v>
      </c>
      <c r="D8" s="76">
        <v>59945636</v>
      </c>
      <c r="E8" s="77">
        <v>16001637</v>
      </c>
    </row>
    <row r="9" spans="2:5">
      <c r="B9" s="75" t="s">
        <v>64</v>
      </c>
      <c r="C9" s="76">
        <v>64662</v>
      </c>
      <c r="D9" s="76">
        <v>64790606</v>
      </c>
      <c r="E9" s="77">
        <v>16651557</v>
      </c>
    </row>
    <row r="10" spans="2:5">
      <c r="B10" s="75" t="s">
        <v>65</v>
      </c>
      <c r="C10" s="76">
        <v>794837</v>
      </c>
      <c r="D10" s="76">
        <v>500794256</v>
      </c>
      <c r="E10" s="77">
        <v>54163341</v>
      </c>
    </row>
    <row r="11" spans="2:5">
      <c r="B11" s="75" t="s">
        <v>66</v>
      </c>
      <c r="C11" s="76">
        <v>27353</v>
      </c>
      <c r="D11" s="76">
        <v>125130273</v>
      </c>
      <c r="E11" s="77">
        <v>19153183</v>
      </c>
    </row>
    <row r="12" spans="2:5">
      <c r="B12" s="75" t="s">
        <v>67</v>
      </c>
      <c r="C12" s="76">
        <v>278732</v>
      </c>
      <c r="D12" s="76">
        <v>46055311</v>
      </c>
      <c r="E12" s="77">
        <v>9460350</v>
      </c>
    </row>
    <row r="13" spans="2:5">
      <c r="B13" s="75" t="s">
        <v>68</v>
      </c>
      <c r="C13" s="76">
        <v>173944</v>
      </c>
      <c r="D13" s="76">
        <v>41501702</v>
      </c>
      <c r="E13" s="77">
        <v>15164318</v>
      </c>
    </row>
    <row r="14" spans="2:5">
      <c r="B14" s="75" t="s">
        <v>69</v>
      </c>
      <c r="C14" s="76">
        <v>446485</v>
      </c>
      <c r="D14" s="76">
        <v>25481491</v>
      </c>
      <c r="E14" s="77">
        <v>9604077</v>
      </c>
    </row>
    <row r="15" spans="2:5">
      <c r="B15" s="75" t="s">
        <v>70</v>
      </c>
      <c r="C15" s="76">
        <v>341559</v>
      </c>
      <c r="D15" s="76">
        <v>45661141</v>
      </c>
      <c r="E15" s="77">
        <v>7715574</v>
      </c>
    </row>
    <row r="16" spans="2:5">
      <c r="B16" s="75" t="s">
        <v>71</v>
      </c>
      <c r="C16" s="76">
        <v>105841</v>
      </c>
      <c r="D16" s="76">
        <v>15410056</v>
      </c>
      <c r="E16" s="77">
        <v>7246425</v>
      </c>
    </row>
    <row r="17" spans="2:5">
      <c r="B17" s="75" t="s">
        <v>72</v>
      </c>
      <c r="C17" s="76">
        <v>276248</v>
      </c>
      <c r="D17" s="76">
        <v>111487956</v>
      </c>
      <c r="E17" s="77">
        <v>20666306</v>
      </c>
    </row>
    <row r="18" spans="2:5">
      <c r="B18" s="75" t="s">
        <v>73</v>
      </c>
      <c r="C18" s="76">
        <v>5606</v>
      </c>
      <c r="D18" s="76">
        <v>9595527</v>
      </c>
      <c r="E18" s="77">
        <v>3783665</v>
      </c>
    </row>
    <row r="19" spans="2:5" ht="13.8" thickBot="1">
      <c r="B19" s="78" t="s">
        <v>74</v>
      </c>
      <c r="C19" s="79">
        <v>229866</v>
      </c>
      <c r="D19" s="79">
        <v>40853581</v>
      </c>
      <c r="E19" s="80">
        <v>14451119</v>
      </c>
    </row>
  </sheetData>
  <phoneticPr fontId="2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B2:G15"/>
  <sheetViews>
    <sheetView workbookViewId="0"/>
  </sheetViews>
  <sheetFormatPr defaultRowHeight="13.2"/>
  <sheetData>
    <row r="2" spans="2:7">
      <c r="E2" s="360" t="s">
        <v>365</v>
      </c>
      <c r="F2" s="360" t="s">
        <v>367</v>
      </c>
      <c r="G2" s="360" t="s">
        <v>369</v>
      </c>
    </row>
    <row r="3" spans="2:7" ht="26.4">
      <c r="B3" s="331"/>
      <c r="C3" s="68" t="s">
        <v>50</v>
      </c>
      <c r="D3" s="68" t="s">
        <v>51</v>
      </c>
      <c r="E3" s="68" t="s">
        <v>360</v>
      </c>
      <c r="F3" s="68" t="s">
        <v>361</v>
      </c>
      <c r="G3" s="68" t="s">
        <v>370</v>
      </c>
    </row>
    <row r="4" spans="2:7">
      <c r="B4" s="65">
        <v>1</v>
      </c>
      <c r="C4" s="51">
        <v>64</v>
      </c>
      <c r="D4" s="51">
        <v>74</v>
      </c>
      <c r="E4" s="382">
        <f>C4-$C$15</f>
        <v>-9.5</v>
      </c>
      <c r="F4" s="382">
        <f>D4-$D$15</f>
        <v>-1</v>
      </c>
      <c r="G4" s="383">
        <f>ROUND(E4*F4,2)</f>
        <v>9.5</v>
      </c>
    </row>
    <row r="5" spans="2:7">
      <c r="B5" s="65">
        <v>2</v>
      </c>
      <c r="C5" s="51">
        <v>71</v>
      </c>
      <c r="D5" s="51">
        <v>71</v>
      </c>
      <c r="E5" s="382">
        <f t="shared" ref="E5:E14" si="0">C5-$C$15</f>
        <v>-2.5</v>
      </c>
      <c r="F5" s="382">
        <f t="shared" ref="F5:F14" si="1">D5-$D$15</f>
        <v>-4</v>
      </c>
      <c r="G5" s="383">
        <f t="shared" ref="G5:G14" si="2">ROUND(E5*F5,2)</f>
        <v>10</v>
      </c>
    </row>
    <row r="6" spans="2:7">
      <c r="B6" s="65">
        <v>3</v>
      </c>
      <c r="C6" s="51">
        <v>80</v>
      </c>
      <c r="D6" s="51">
        <v>80</v>
      </c>
      <c r="E6" s="382">
        <f t="shared" si="0"/>
        <v>6.5</v>
      </c>
      <c r="F6" s="382">
        <f t="shared" si="1"/>
        <v>5</v>
      </c>
      <c r="G6" s="383">
        <f t="shared" si="2"/>
        <v>32.5</v>
      </c>
    </row>
    <row r="7" spans="2:7">
      <c r="B7" s="65">
        <v>4</v>
      </c>
      <c r="C7" s="51">
        <v>80</v>
      </c>
      <c r="D7" s="51">
        <v>76</v>
      </c>
      <c r="E7" s="382">
        <f t="shared" si="0"/>
        <v>6.5</v>
      </c>
      <c r="F7" s="382">
        <f t="shared" si="1"/>
        <v>1</v>
      </c>
      <c r="G7" s="383">
        <f t="shared" si="2"/>
        <v>6.5</v>
      </c>
    </row>
    <row r="8" spans="2:7">
      <c r="B8" s="65">
        <v>5</v>
      </c>
      <c r="C8" s="51">
        <v>90</v>
      </c>
      <c r="D8" s="51">
        <v>82</v>
      </c>
      <c r="E8" s="382">
        <f t="shared" si="0"/>
        <v>16.5</v>
      </c>
      <c r="F8" s="382">
        <f t="shared" si="1"/>
        <v>7</v>
      </c>
      <c r="G8" s="383">
        <f t="shared" si="2"/>
        <v>115.5</v>
      </c>
    </row>
    <row r="9" spans="2:7">
      <c r="B9" s="65">
        <v>6</v>
      </c>
      <c r="C9" s="51">
        <v>78</v>
      </c>
      <c r="D9" s="51">
        <v>80</v>
      </c>
      <c r="E9" s="382">
        <f t="shared" si="0"/>
        <v>4.5</v>
      </c>
      <c r="F9" s="382">
        <f t="shared" si="1"/>
        <v>5</v>
      </c>
      <c r="G9" s="383">
        <f t="shared" si="2"/>
        <v>22.5</v>
      </c>
    </row>
    <row r="10" spans="2:7">
      <c r="B10" s="65">
        <v>7</v>
      </c>
      <c r="C10" s="51">
        <v>72</v>
      </c>
      <c r="D10" s="51">
        <v>72</v>
      </c>
      <c r="E10" s="382">
        <f t="shared" si="0"/>
        <v>-1.5</v>
      </c>
      <c r="F10" s="382">
        <f t="shared" si="1"/>
        <v>-3</v>
      </c>
      <c r="G10" s="383">
        <f t="shared" si="2"/>
        <v>4.5</v>
      </c>
    </row>
    <row r="11" spans="2:7">
      <c r="B11" s="65">
        <v>8</v>
      </c>
      <c r="C11" s="51">
        <v>72</v>
      </c>
      <c r="D11" s="51">
        <v>76</v>
      </c>
      <c r="E11" s="382">
        <f t="shared" si="0"/>
        <v>-1.5</v>
      </c>
      <c r="F11" s="382">
        <f t="shared" si="1"/>
        <v>1</v>
      </c>
      <c r="G11" s="383">
        <f t="shared" si="2"/>
        <v>-1.5</v>
      </c>
    </row>
    <row r="12" spans="2:7">
      <c r="B12" s="65">
        <v>9</v>
      </c>
      <c r="C12" s="51">
        <v>62</v>
      </c>
      <c r="D12" s="51">
        <v>66</v>
      </c>
      <c r="E12" s="382">
        <f t="shared" si="0"/>
        <v>-11.5</v>
      </c>
      <c r="F12" s="382">
        <f t="shared" si="1"/>
        <v>-9</v>
      </c>
      <c r="G12" s="383">
        <f t="shared" si="2"/>
        <v>103.5</v>
      </c>
    </row>
    <row r="13" spans="2:7">
      <c r="B13" s="65">
        <v>10</v>
      </c>
      <c r="C13" s="51">
        <v>76</v>
      </c>
      <c r="D13" s="51">
        <v>78</v>
      </c>
      <c r="E13" s="382">
        <f t="shared" si="0"/>
        <v>2.5</v>
      </c>
      <c r="F13" s="382">
        <f t="shared" si="1"/>
        <v>3</v>
      </c>
      <c r="G13" s="383">
        <f t="shared" si="2"/>
        <v>7.5</v>
      </c>
    </row>
    <row r="14" spans="2:7">
      <c r="B14" s="65">
        <v>11</v>
      </c>
      <c r="C14" s="51">
        <v>64</v>
      </c>
      <c r="D14" s="51">
        <v>70</v>
      </c>
      <c r="E14" s="382">
        <f t="shared" si="0"/>
        <v>-9.5</v>
      </c>
      <c r="F14" s="382">
        <f t="shared" si="1"/>
        <v>-5</v>
      </c>
      <c r="G14" s="383">
        <f t="shared" si="2"/>
        <v>47.5</v>
      </c>
    </row>
    <row r="15" spans="2:7">
      <c r="B15" s="65" t="s">
        <v>53</v>
      </c>
      <c r="C15" s="383">
        <f>ROUND(AVERAGE(C4:C14),1)</f>
        <v>73.5</v>
      </c>
      <c r="D15" s="383">
        <f t="shared" ref="D15" si="3">ROUND(AVERAGE(D4:D14),1)</f>
        <v>75</v>
      </c>
      <c r="E15" s="572" t="s">
        <v>28</v>
      </c>
      <c r="F15" s="573"/>
      <c r="G15" s="383">
        <f>ROUND(SUM(G4:G14),2)</f>
        <v>358</v>
      </c>
    </row>
  </sheetData>
  <mergeCells count="1">
    <mergeCell ref="E15:F15"/>
  </mergeCells>
  <phoneticPr fontId="2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B2:I15"/>
  <sheetViews>
    <sheetView workbookViewId="0"/>
  </sheetViews>
  <sheetFormatPr defaultRowHeight="13.2"/>
  <sheetData>
    <row r="2" spans="2:9">
      <c r="E2" s="360" t="s">
        <v>365</v>
      </c>
      <c r="F2" s="360" t="s">
        <v>367</v>
      </c>
      <c r="G2" s="360" t="s">
        <v>369</v>
      </c>
      <c r="H2" s="360" t="s">
        <v>372</v>
      </c>
      <c r="I2" s="360" t="s">
        <v>374</v>
      </c>
    </row>
    <row r="3" spans="2:9" ht="28.8">
      <c r="B3" s="331"/>
      <c r="C3" s="68" t="s">
        <v>50</v>
      </c>
      <c r="D3" s="68" t="s">
        <v>51</v>
      </c>
      <c r="E3" s="68" t="s">
        <v>360</v>
      </c>
      <c r="F3" s="68" t="s">
        <v>361</v>
      </c>
      <c r="G3" s="68" t="s">
        <v>370</v>
      </c>
      <c r="H3" s="68" t="s">
        <v>375</v>
      </c>
      <c r="I3" s="68" t="s">
        <v>376</v>
      </c>
    </row>
    <row r="4" spans="2:9">
      <c r="B4" s="65">
        <v>1</v>
      </c>
      <c r="C4" s="51">
        <v>64</v>
      </c>
      <c r="D4" s="51">
        <v>74</v>
      </c>
      <c r="E4" s="382">
        <f>C4-$C$15</f>
        <v>-9.5</v>
      </c>
      <c r="F4" s="382">
        <f>D4-$D$15</f>
        <v>-1</v>
      </c>
      <c r="G4" s="383">
        <f>ROUND(E4*F4,2)</f>
        <v>9.5</v>
      </c>
      <c r="H4" s="65">
        <f>ROUND(E4^2,2)</f>
        <v>90.25</v>
      </c>
      <c r="I4" s="382">
        <f>ROUND(F4^2,2)</f>
        <v>1</v>
      </c>
    </row>
    <row r="5" spans="2:9">
      <c r="B5" s="65">
        <v>2</v>
      </c>
      <c r="C5" s="51">
        <v>71</v>
      </c>
      <c r="D5" s="51">
        <v>71</v>
      </c>
      <c r="E5" s="382">
        <f t="shared" ref="E5:E14" si="0">C5-$C$15</f>
        <v>-2.5</v>
      </c>
      <c r="F5" s="382">
        <f t="shared" ref="F5:F14" si="1">D5-$D$15</f>
        <v>-4</v>
      </c>
      <c r="G5" s="383">
        <f t="shared" ref="G5:G14" si="2">ROUND(E5*F5,2)</f>
        <v>10</v>
      </c>
      <c r="H5" s="65">
        <f t="shared" ref="H5:I14" si="3">ROUND(E5^2,2)</f>
        <v>6.25</v>
      </c>
      <c r="I5" s="382">
        <f t="shared" si="3"/>
        <v>16</v>
      </c>
    </row>
    <row r="6" spans="2:9">
      <c r="B6" s="65">
        <v>3</v>
      </c>
      <c r="C6" s="51">
        <v>80</v>
      </c>
      <c r="D6" s="51">
        <v>80</v>
      </c>
      <c r="E6" s="382">
        <f t="shared" si="0"/>
        <v>6.5</v>
      </c>
      <c r="F6" s="382">
        <f t="shared" si="1"/>
        <v>5</v>
      </c>
      <c r="G6" s="383">
        <f t="shared" si="2"/>
        <v>32.5</v>
      </c>
      <c r="H6" s="65">
        <f t="shared" si="3"/>
        <v>42.25</v>
      </c>
      <c r="I6" s="382">
        <f t="shared" si="3"/>
        <v>25</v>
      </c>
    </row>
    <row r="7" spans="2:9">
      <c r="B7" s="65">
        <v>4</v>
      </c>
      <c r="C7" s="51">
        <v>80</v>
      </c>
      <c r="D7" s="51">
        <v>76</v>
      </c>
      <c r="E7" s="382">
        <f t="shared" si="0"/>
        <v>6.5</v>
      </c>
      <c r="F7" s="382">
        <f t="shared" si="1"/>
        <v>1</v>
      </c>
      <c r="G7" s="383">
        <f t="shared" si="2"/>
        <v>6.5</v>
      </c>
      <c r="H7" s="65">
        <f t="shared" si="3"/>
        <v>42.25</v>
      </c>
      <c r="I7" s="382">
        <f t="shared" si="3"/>
        <v>1</v>
      </c>
    </row>
    <row r="8" spans="2:9">
      <c r="B8" s="65">
        <v>5</v>
      </c>
      <c r="C8" s="51">
        <v>90</v>
      </c>
      <c r="D8" s="51">
        <v>82</v>
      </c>
      <c r="E8" s="382">
        <f t="shared" si="0"/>
        <v>16.5</v>
      </c>
      <c r="F8" s="382">
        <f t="shared" si="1"/>
        <v>7</v>
      </c>
      <c r="G8" s="383">
        <f t="shared" si="2"/>
        <v>115.5</v>
      </c>
      <c r="H8" s="65">
        <f t="shared" si="3"/>
        <v>272.25</v>
      </c>
      <c r="I8" s="382">
        <f t="shared" si="3"/>
        <v>49</v>
      </c>
    </row>
    <row r="9" spans="2:9">
      <c r="B9" s="65">
        <v>6</v>
      </c>
      <c r="C9" s="51">
        <v>78</v>
      </c>
      <c r="D9" s="51">
        <v>80</v>
      </c>
      <c r="E9" s="382">
        <f t="shared" si="0"/>
        <v>4.5</v>
      </c>
      <c r="F9" s="382">
        <f t="shared" si="1"/>
        <v>5</v>
      </c>
      <c r="G9" s="383">
        <f t="shared" si="2"/>
        <v>22.5</v>
      </c>
      <c r="H9" s="65">
        <f t="shared" si="3"/>
        <v>20.25</v>
      </c>
      <c r="I9" s="382">
        <f t="shared" si="3"/>
        <v>25</v>
      </c>
    </row>
    <row r="10" spans="2:9">
      <c r="B10" s="65">
        <v>7</v>
      </c>
      <c r="C10" s="51">
        <v>72</v>
      </c>
      <c r="D10" s="51">
        <v>72</v>
      </c>
      <c r="E10" s="382">
        <f t="shared" si="0"/>
        <v>-1.5</v>
      </c>
      <c r="F10" s="382">
        <f t="shared" si="1"/>
        <v>-3</v>
      </c>
      <c r="G10" s="383">
        <f t="shared" si="2"/>
        <v>4.5</v>
      </c>
      <c r="H10" s="65">
        <f t="shared" si="3"/>
        <v>2.25</v>
      </c>
      <c r="I10" s="382">
        <f t="shared" si="3"/>
        <v>9</v>
      </c>
    </row>
    <row r="11" spans="2:9">
      <c r="B11" s="65">
        <v>8</v>
      </c>
      <c r="C11" s="51">
        <v>72</v>
      </c>
      <c r="D11" s="51">
        <v>76</v>
      </c>
      <c r="E11" s="382">
        <f t="shared" si="0"/>
        <v>-1.5</v>
      </c>
      <c r="F11" s="382">
        <f t="shared" si="1"/>
        <v>1</v>
      </c>
      <c r="G11" s="383">
        <f t="shared" si="2"/>
        <v>-1.5</v>
      </c>
      <c r="H11" s="65">
        <f t="shared" si="3"/>
        <v>2.25</v>
      </c>
      <c r="I11" s="382">
        <f t="shared" si="3"/>
        <v>1</v>
      </c>
    </row>
    <row r="12" spans="2:9">
      <c r="B12" s="65">
        <v>9</v>
      </c>
      <c r="C12" s="51">
        <v>62</v>
      </c>
      <c r="D12" s="51">
        <v>66</v>
      </c>
      <c r="E12" s="382">
        <f t="shared" si="0"/>
        <v>-11.5</v>
      </c>
      <c r="F12" s="382">
        <f t="shared" si="1"/>
        <v>-9</v>
      </c>
      <c r="G12" s="383">
        <f t="shared" si="2"/>
        <v>103.5</v>
      </c>
      <c r="H12" s="65">
        <f t="shared" si="3"/>
        <v>132.25</v>
      </c>
      <c r="I12" s="382">
        <f t="shared" si="3"/>
        <v>81</v>
      </c>
    </row>
    <row r="13" spans="2:9">
      <c r="B13" s="65">
        <v>10</v>
      </c>
      <c r="C13" s="51">
        <v>76</v>
      </c>
      <c r="D13" s="51">
        <v>78</v>
      </c>
      <c r="E13" s="382">
        <f t="shared" si="0"/>
        <v>2.5</v>
      </c>
      <c r="F13" s="382">
        <f t="shared" si="1"/>
        <v>3</v>
      </c>
      <c r="G13" s="383">
        <f t="shared" si="2"/>
        <v>7.5</v>
      </c>
      <c r="H13" s="65">
        <f t="shared" si="3"/>
        <v>6.25</v>
      </c>
      <c r="I13" s="382">
        <f t="shared" si="3"/>
        <v>9</v>
      </c>
    </row>
    <row r="14" spans="2:9">
      <c r="B14" s="65">
        <v>11</v>
      </c>
      <c r="C14" s="51">
        <v>64</v>
      </c>
      <c r="D14" s="51">
        <v>70</v>
      </c>
      <c r="E14" s="382">
        <f t="shared" si="0"/>
        <v>-9.5</v>
      </c>
      <c r="F14" s="382">
        <f t="shared" si="1"/>
        <v>-5</v>
      </c>
      <c r="G14" s="383">
        <f t="shared" si="2"/>
        <v>47.5</v>
      </c>
      <c r="H14" s="65">
        <f t="shared" si="3"/>
        <v>90.25</v>
      </c>
      <c r="I14" s="382">
        <f t="shared" si="3"/>
        <v>25</v>
      </c>
    </row>
    <row r="15" spans="2:9">
      <c r="B15" s="65" t="s">
        <v>53</v>
      </c>
      <c r="C15" s="383">
        <f>ROUND(AVERAGE(C4:C14),1)</f>
        <v>73.5</v>
      </c>
      <c r="D15" s="383">
        <f t="shared" ref="D15" si="4">ROUND(AVERAGE(D4:D14),1)</f>
        <v>75</v>
      </c>
      <c r="E15" s="572" t="s">
        <v>28</v>
      </c>
      <c r="F15" s="573"/>
      <c r="G15" s="383">
        <f>ROUND(SUM(G4:G14),2)</f>
        <v>358</v>
      </c>
      <c r="H15" s="384">
        <f t="shared" ref="H15:I15" si="5">ROUND(SUM(H4:H14),2)</f>
        <v>706.75</v>
      </c>
      <c r="I15" s="383">
        <f t="shared" si="5"/>
        <v>242</v>
      </c>
    </row>
  </sheetData>
  <mergeCells count="1">
    <mergeCell ref="E15:F15"/>
  </mergeCells>
  <phoneticPr fontId="2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B1:H13"/>
  <sheetViews>
    <sheetView workbookViewId="0"/>
  </sheetViews>
  <sheetFormatPr defaultRowHeight="13.2"/>
  <cols>
    <col min="2" max="2" width="10.6640625" bestFit="1" customWidth="1"/>
  </cols>
  <sheetData>
    <row r="1" spans="2:8" ht="13.8" thickBot="1"/>
    <row r="2" spans="2:8">
      <c r="B2" s="576"/>
      <c r="C2" s="81">
        <v>1</v>
      </c>
      <c r="D2" s="81">
        <v>2</v>
      </c>
      <c r="E2" s="81">
        <v>3</v>
      </c>
      <c r="F2" s="81">
        <v>4</v>
      </c>
      <c r="G2" s="81">
        <v>5</v>
      </c>
      <c r="H2" s="82">
        <v>6</v>
      </c>
    </row>
    <row r="3" spans="2:8">
      <c r="B3" s="577"/>
      <c r="C3" s="579" t="s">
        <v>75</v>
      </c>
      <c r="D3" s="581" t="s">
        <v>18</v>
      </c>
      <c r="E3" s="581" t="s">
        <v>19</v>
      </c>
      <c r="F3" s="581" t="s">
        <v>23</v>
      </c>
      <c r="G3" s="579" t="s">
        <v>24</v>
      </c>
      <c r="H3" s="574" t="s">
        <v>76</v>
      </c>
    </row>
    <row r="4" spans="2:8" ht="13.8" thickBot="1">
      <c r="B4" s="578"/>
      <c r="C4" s="580"/>
      <c r="D4" s="582"/>
      <c r="E4" s="582"/>
      <c r="F4" s="582"/>
      <c r="G4" s="580"/>
      <c r="H4" s="575"/>
    </row>
    <row r="5" spans="2:8" ht="13.05" customHeight="1" thickTop="1">
      <c r="B5" s="83" t="s">
        <v>77</v>
      </c>
      <c r="C5" s="84">
        <v>2</v>
      </c>
      <c r="D5" s="84">
        <v>5</v>
      </c>
      <c r="E5" s="85">
        <v>0.05</v>
      </c>
      <c r="F5" s="84">
        <v>3.5</v>
      </c>
      <c r="G5" s="84">
        <v>15</v>
      </c>
      <c r="H5" s="86">
        <v>0.1</v>
      </c>
    </row>
    <row r="6" spans="2:8" ht="13.05" customHeight="1">
      <c r="B6" s="87" t="s">
        <v>9</v>
      </c>
      <c r="C6" s="88">
        <v>125</v>
      </c>
      <c r="D6" s="88">
        <v>50</v>
      </c>
      <c r="E6" s="88">
        <v>5</v>
      </c>
      <c r="F6" s="88">
        <v>160</v>
      </c>
      <c r="G6" s="89">
        <v>14</v>
      </c>
      <c r="H6" s="90">
        <v>10</v>
      </c>
    </row>
    <row r="7" spans="2:8" ht="13.05" customHeight="1">
      <c r="B7" s="87" t="s">
        <v>10</v>
      </c>
      <c r="C7" s="88">
        <v>115</v>
      </c>
      <c r="D7" s="88">
        <v>60</v>
      </c>
      <c r="E7" s="88">
        <v>5</v>
      </c>
      <c r="F7" s="88">
        <v>237</v>
      </c>
      <c r="G7" s="89">
        <v>14</v>
      </c>
      <c r="H7" s="90">
        <v>10</v>
      </c>
    </row>
    <row r="8" spans="2:8" ht="13.05" customHeight="1">
      <c r="B8" s="87" t="s">
        <v>11</v>
      </c>
      <c r="C8" s="88">
        <v>160</v>
      </c>
      <c r="D8" s="88">
        <v>165</v>
      </c>
      <c r="E8" s="88">
        <v>10</v>
      </c>
      <c r="F8" s="88">
        <v>1165</v>
      </c>
      <c r="G8" s="89">
        <v>22</v>
      </c>
      <c r="H8" s="90">
        <v>30</v>
      </c>
    </row>
    <row r="9" spans="2:8" ht="13.05" customHeight="1">
      <c r="B9" s="87" t="s">
        <v>12</v>
      </c>
      <c r="C9" s="88">
        <v>215</v>
      </c>
      <c r="D9" s="88">
        <v>235</v>
      </c>
      <c r="E9" s="88">
        <v>20</v>
      </c>
      <c r="F9" s="88">
        <v>1950</v>
      </c>
      <c r="G9" s="89">
        <v>23</v>
      </c>
      <c r="H9" s="90">
        <v>80</v>
      </c>
    </row>
    <row r="10" spans="2:8" ht="13.05" customHeight="1">
      <c r="B10" s="87" t="s">
        <v>13</v>
      </c>
      <c r="C10" s="88">
        <v>240</v>
      </c>
      <c r="D10" s="88">
        <v>240</v>
      </c>
      <c r="E10" s="88">
        <v>20</v>
      </c>
      <c r="F10" s="88">
        <v>2343</v>
      </c>
      <c r="G10" s="89">
        <v>23</v>
      </c>
      <c r="H10" s="90">
        <v>100</v>
      </c>
    </row>
    <row r="11" spans="2:8" ht="13.05" customHeight="1">
      <c r="B11" s="87" t="s">
        <v>78</v>
      </c>
      <c r="C11" s="88">
        <v>300</v>
      </c>
      <c r="D11" s="88">
        <v>324</v>
      </c>
      <c r="E11" s="88">
        <v>41</v>
      </c>
      <c r="F11" s="88">
        <v>2875</v>
      </c>
      <c r="G11" s="89">
        <v>19</v>
      </c>
      <c r="H11" s="90">
        <v>120</v>
      </c>
    </row>
    <row r="12" spans="2:8">
      <c r="B12" s="87" t="s">
        <v>15</v>
      </c>
      <c r="C12" s="88">
        <v>330</v>
      </c>
      <c r="D12" s="88">
        <v>399</v>
      </c>
      <c r="E12" s="88">
        <v>50</v>
      </c>
      <c r="F12" s="88">
        <v>3539</v>
      </c>
      <c r="G12" s="89">
        <v>17</v>
      </c>
      <c r="H12" s="90">
        <v>120</v>
      </c>
    </row>
    <row r="13" spans="2:8" ht="13.8" thickBot="1">
      <c r="B13" s="91" t="s">
        <v>16</v>
      </c>
      <c r="C13" s="92">
        <v>335</v>
      </c>
      <c r="D13" s="92">
        <v>434</v>
      </c>
      <c r="E13" s="92">
        <v>50</v>
      </c>
      <c r="F13" s="92">
        <v>3665</v>
      </c>
      <c r="G13" s="93">
        <v>23</v>
      </c>
      <c r="H13" s="94">
        <v>130</v>
      </c>
    </row>
  </sheetData>
  <mergeCells count="7">
    <mergeCell ref="H3:H4"/>
    <mergeCell ref="B2:B4"/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15"/>
  <sheetViews>
    <sheetView workbookViewId="0"/>
  </sheetViews>
  <sheetFormatPr defaultRowHeight="13.2"/>
  <cols>
    <col min="2" max="2" width="10.109375" customWidth="1"/>
  </cols>
  <sheetData>
    <row r="1" spans="1:17">
      <c r="A1" s="235"/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</row>
    <row r="2" spans="1:17" ht="13.8" thickBot="1">
      <c r="A2" s="235"/>
      <c r="B2" s="235"/>
      <c r="C2" s="589" t="s">
        <v>377</v>
      </c>
      <c r="D2" s="589"/>
      <c r="E2" s="589"/>
      <c r="F2" s="589"/>
      <c r="G2" s="589"/>
      <c r="H2" s="589"/>
      <c r="I2" s="235"/>
      <c r="J2" s="235"/>
      <c r="K2" s="235"/>
      <c r="L2" s="589" t="s">
        <v>378</v>
      </c>
      <c r="M2" s="589"/>
      <c r="N2" s="589"/>
      <c r="O2" s="589"/>
      <c r="P2" s="589"/>
      <c r="Q2" s="235"/>
    </row>
    <row r="3" spans="1:17">
      <c r="A3" s="235"/>
      <c r="B3" s="576"/>
      <c r="C3" s="81">
        <v>1</v>
      </c>
      <c r="D3" s="81">
        <v>2</v>
      </c>
      <c r="E3" s="81">
        <v>3</v>
      </c>
      <c r="F3" s="81">
        <v>4</v>
      </c>
      <c r="G3" s="81">
        <v>5</v>
      </c>
      <c r="H3" s="82">
        <v>6</v>
      </c>
      <c r="I3" s="235"/>
      <c r="J3" s="590"/>
      <c r="K3" s="591"/>
      <c r="L3" s="385">
        <v>2</v>
      </c>
      <c r="M3" s="385">
        <v>3</v>
      </c>
      <c r="N3" s="385">
        <v>4</v>
      </c>
      <c r="O3" s="385">
        <v>5</v>
      </c>
      <c r="P3" s="386">
        <v>6</v>
      </c>
      <c r="Q3" s="235"/>
    </row>
    <row r="4" spans="1:17">
      <c r="A4" s="235"/>
      <c r="B4" s="577"/>
      <c r="C4" s="579" t="s">
        <v>75</v>
      </c>
      <c r="D4" s="581" t="s">
        <v>18</v>
      </c>
      <c r="E4" s="581" t="s">
        <v>22</v>
      </c>
      <c r="F4" s="581" t="s">
        <v>23</v>
      </c>
      <c r="G4" s="579" t="s">
        <v>24</v>
      </c>
      <c r="H4" s="574" t="s">
        <v>76</v>
      </c>
      <c r="I4" s="235"/>
      <c r="J4" s="592"/>
      <c r="K4" s="593"/>
      <c r="L4" s="579" t="s">
        <v>379</v>
      </c>
      <c r="M4" s="581" t="s">
        <v>22</v>
      </c>
      <c r="N4" s="581" t="s">
        <v>23</v>
      </c>
      <c r="O4" s="579" t="s">
        <v>380</v>
      </c>
      <c r="P4" s="574" t="s">
        <v>76</v>
      </c>
      <c r="Q4" s="235"/>
    </row>
    <row r="5" spans="1:17" ht="13.8" thickBot="1">
      <c r="A5" s="235"/>
      <c r="B5" s="578"/>
      <c r="C5" s="580"/>
      <c r="D5" s="582"/>
      <c r="E5" s="582"/>
      <c r="F5" s="582"/>
      <c r="G5" s="580"/>
      <c r="H5" s="575"/>
      <c r="I5" s="235"/>
      <c r="J5" s="594"/>
      <c r="K5" s="595"/>
      <c r="L5" s="580"/>
      <c r="M5" s="582"/>
      <c r="N5" s="582"/>
      <c r="O5" s="580"/>
      <c r="P5" s="575"/>
      <c r="Q5" s="235"/>
    </row>
    <row r="6" spans="1:17" ht="13.05" customHeight="1" thickTop="1" thickBot="1">
      <c r="A6" s="235"/>
      <c r="B6" s="83" t="s">
        <v>77</v>
      </c>
      <c r="C6" s="84">
        <v>2</v>
      </c>
      <c r="D6" s="84">
        <v>5</v>
      </c>
      <c r="E6" s="85">
        <v>0.05</v>
      </c>
      <c r="F6" s="84">
        <v>3.5</v>
      </c>
      <c r="G6" s="84">
        <v>15</v>
      </c>
      <c r="H6" s="86">
        <v>0.1</v>
      </c>
      <c r="I6" s="235"/>
      <c r="J6" s="587" t="s">
        <v>381</v>
      </c>
      <c r="K6" s="588"/>
      <c r="L6" s="387">
        <f>CORREL($C$6:$C$14,D6:D14)</f>
        <v>0.96938515841082928</v>
      </c>
      <c r="M6" s="387">
        <f t="shared" ref="M6:P6" si="0">CORREL($C$6:$C$14,E6:E14)</f>
        <v>0.94262576178338853</v>
      </c>
      <c r="N6" s="387">
        <f t="shared" si="0"/>
        <v>0.96136287454593483</v>
      </c>
      <c r="O6" s="387">
        <f t="shared" si="0"/>
        <v>0.55276635831703236</v>
      </c>
      <c r="P6" s="388">
        <f t="shared" si="0"/>
        <v>0.95399079260309727</v>
      </c>
      <c r="Q6" s="235"/>
    </row>
    <row r="7" spans="1:17" ht="13.05" customHeight="1" thickBot="1">
      <c r="A7" s="235"/>
      <c r="B7" s="87" t="s">
        <v>9</v>
      </c>
      <c r="C7" s="88">
        <v>125</v>
      </c>
      <c r="D7" s="88">
        <v>50</v>
      </c>
      <c r="E7" s="88">
        <v>5</v>
      </c>
      <c r="F7" s="88">
        <v>160</v>
      </c>
      <c r="G7" s="89">
        <v>14</v>
      </c>
      <c r="H7" s="90">
        <v>10</v>
      </c>
      <c r="I7" s="235"/>
      <c r="J7" s="389"/>
      <c r="K7" s="583" t="s">
        <v>382</v>
      </c>
      <c r="L7" s="584"/>
      <c r="M7" s="390">
        <f>CORREL($D$6:$D$14,E6:E14)</f>
        <v>0.97302182371936041</v>
      </c>
      <c r="N7" s="390">
        <f t="shared" ref="N7:P7" si="1">CORREL($D$6:$D$14,F6:F14)</f>
        <v>0.99368978492871263</v>
      </c>
      <c r="O7" s="390">
        <f t="shared" si="1"/>
        <v>0.60201683896914404</v>
      </c>
      <c r="P7" s="391">
        <f t="shared" si="1"/>
        <v>0.96604137959151948</v>
      </c>
      <c r="Q7" s="235"/>
    </row>
    <row r="8" spans="1:17" ht="13.05" customHeight="1" thickBot="1">
      <c r="A8" s="235"/>
      <c r="B8" s="87" t="s">
        <v>10</v>
      </c>
      <c r="C8" s="88">
        <v>115</v>
      </c>
      <c r="D8" s="88">
        <v>60</v>
      </c>
      <c r="E8" s="88">
        <v>5</v>
      </c>
      <c r="F8" s="88">
        <v>237</v>
      </c>
      <c r="G8" s="89">
        <v>14</v>
      </c>
      <c r="H8" s="90">
        <v>10</v>
      </c>
      <c r="I8" s="235"/>
      <c r="J8" s="389"/>
      <c r="K8" s="389"/>
      <c r="L8" s="585" t="s">
        <v>383</v>
      </c>
      <c r="M8" s="586"/>
      <c r="N8" s="390">
        <f>CORREL($E$6:$E$14,F6:F14)</f>
        <v>0.9666119296386827</v>
      </c>
      <c r="O8" s="390">
        <f t="shared" ref="O8:P8" si="2">CORREL($E$6:$E$14,G6:G14)</f>
        <v>0.41530849650460677</v>
      </c>
      <c r="P8" s="391">
        <f t="shared" si="2"/>
        <v>0.93930141812420564</v>
      </c>
      <c r="Q8" s="235"/>
    </row>
    <row r="9" spans="1:17" ht="13.05" customHeight="1" thickBot="1">
      <c r="A9" s="235"/>
      <c r="B9" s="87" t="s">
        <v>11</v>
      </c>
      <c r="C9" s="88">
        <v>160</v>
      </c>
      <c r="D9" s="88">
        <v>165</v>
      </c>
      <c r="E9" s="88">
        <v>10</v>
      </c>
      <c r="F9" s="88">
        <v>1165</v>
      </c>
      <c r="G9" s="89">
        <v>22</v>
      </c>
      <c r="H9" s="90">
        <v>30</v>
      </c>
      <c r="I9" s="235"/>
      <c r="J9" s="389"/>
      <c r="K9" s="389"/>
      <c r="L9" s="389"/>
      <c r="M9" s="585" t="s">
        <v>384</v>
      </c>
      <c r="N9" s="586"/>
      <c r="O9" s="390">
        <f>CORREL($F$6:$F$14,G6:G14)</f>
        <v>0.6081489865718317</v>
      </c>
      <c r="P9" s="391">
        <f>CORREL($F$6:$F$14,H6:H14)</f>
        <v>0.98367226362380145</v>
      </c>
      <c r="Q9" s="235"/>
    </row>
    <row r="10" spans="1:17" ht="13.05" customHeight="1" thickBot="1">
      <c r="A10" s="235"/>
      <c r="B10" s="87" t="s">
        <v>12</v>
      </c>
      <c r="C10" s="88">
        <v>215</v>
      </c>
      <c r="D10" s="88">
        <v>235</v>
      </c>
      <c r="E10" s="88">
        <v>20</v>
      </c>
      <c r="F10" s="88">
        <v>1950</v>
      </c>
      <c r="G10" s="89">
        <v>23</v>
      </c>
      <c r="H10" s="90">
        <v>80</v>
      </c>
      <c r="I10" s="235"/>
      <c r="J10" s="389"/>
      <c r="K10" s="389"/>
      <c r="L10" s="389"/>
      <c r="M10" s="389"/>
      <c r="N10" s="585" t="s">
        <v>385</v>
      </c>
      <c r="O10" s="586"/>
      <c r="P10" s="391">
        <f>CORREL(G6:G14,H6:H14)</f>
        <v>0.61581051936047571</v>
      </c>
      <c r="Q10" s="235"/>
    </row>
    <row r="11" spans="1:17" ht="13.05" customHeight="1">
      <c r="A11" s="235"/>
      <c r="B11" s="87" t="s">
        <v>13</v>
      </c>
      <c r="C11" s="88">
        <v>240</v>
      </c>
      <c r="D11" s="88">
        <v>240</v>
      </c>
      <c r="E11" s="88">
        <v>20</v>
      </c>
      <c r="F11" s="88">
        <v>2343</v>
      </c>
      <c r="G11" s="89">
        <v>23</v>
      </c>
      <c r="H11" s="90">
        <v>100</v>
      </c>
      <c r="I11" s="235"/>
      <c r="J11" s="235"/>
      <c r="K11" s="235"/>
      <c r="L11" s="235"/>
      <c r="M11" s="235"/>
      <c r="N11" s="235"/>
      <c r="O11" s="235"/>
      <c r="P11" s="235"/>
      <c r="Q11" s="235"/>
    </row>
    <row r="12" spans="1:17" ht="13.05" customHeight="1">
      <c r="A12" s="235"/>
      <c r="B12" s="87" t="s">
        <v>78</v>
      </c>
      <c r="C12" s="88">
        <v>300</v>
      </c>
      <c r="D12" s="88">
        <v>324</v>
      </c>
      <c r="E12" s="88">
        <v>41</v>
      </c>
      <c r="F12" s="88">
        <v>2875</v>
      </c>
      <c r="G12" s="89">
        <v>19</v>
      </c>
      <c r="H12" s="90">
        <v>120</v>
      </c>
      <c r="I12" s="235"/>
      <c r="J12" s="235"/>
      <c r="K12" s="235"/>
      <c r="L12" s="235"/>
      <c r="M12" s="235"/>
      <c r="N12" s="235"/>
      <c r="O12" s="235"/>
      <c r="P12" s="235"/>
      <c r="Q12" s="235"/>
    </row>
    <row r="13" spans="1:17" ht="13.05" customHeight="1">
      <c r="A13" s="235"/>
      <c r="B13" s="87" t="s">
        <v>15</v>
      </c>
      <c r="C13" s="88">
        <v>330</v>
      </c>
      <c r="D13" s="88">
        <v>399</v>
      </c>
      <c r="E13" s="88">
        <v>50</v>
      </c>
      <c r="F13" s="88">
        <v>3539</v>
      </c>
      <c r="G13" s="89">
        <v>17</v>
      </c>
      <c r="H13" s="90">
        <v>120</v>
      </c>
      <c r="I13" s="235"/>
      <c r="J13" s="235"/>
      <c r="K13" s="235"/>
      <c r="L13" s="235"/>
      <c r="M13" s="235"/>
      <c r="N13" s="235"/>
      <c r="O13" s="235"/>
      <c r="P13" s="235"/>
      <c r="Q13" s="235"/>
    </row>
    <row r="14" spans="1:17" ht="13.05" customHeight="1" thickBot="1">
      <c r="A14" s="235"/>
      <c r="B14" s="91" t="s">
        <v>16</v>
      </c>
      <c r="C14" s="92">
        <v>335</v>
      </c>
      <c r="D14" s="92">
        <v>434</v>
      </c>
      <c r="E14" s="92">
        <v>50</v>
      </c>
      <c r="F14" s="92">
        <v>3665</v>
      </c>
      <c r="G14" s="93">
        <v>23</v>
      </c>
      <c r="H14" s="94">
        <v>130</v>
      </c>
      <c r="I14" s="235"/>
      <c r="J14" s="235"/>
      <c r="K14" s="235"/>
      <c r="L14" s="235"/>
      <c r="M14" s="235"/>
      <c r="N14" s="235"/>
      <c r="O14" s="235"/>
      <c r="P14" s="235"/>
      <c r="Q14" s="235"/>
    </row>
    <row r="15" spans="1:17">
      <c r="A15" s="235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</row>
  </sheetData>
  <mergeCells count="20">
    <mergeCell ref="P4:P5"/>
    <mergeCell ref="J6:K6"/>
    <mergeCell ref="C2:H2"/>
    <mergeCell ref="L2:P2"/>
    <mergeCell ref="B3:B5"/>
    <mergeCell ref="J3:K5"/>
    <mergeCell ref="C4:C5"/>
    <mergeCell ref="D4:D5"/>
    <mergeCell ref="E4:E5"/>
    <mergeCell ref="F4:F5"/>
    <mergeCell ref="G4:G5"/>
    <mergeCell ref="H4:H5"/>
    <mergeCell ref="K7:L7"/>
    <mergeCell ref="L8:M8"/>
    <mergeCell ref="M9:N9"/>
    <mergeCell ref="N10:O10"/>
    <mergeCell ref="L4:L5"/>
    <mergeCell ref="M4:M5"/>
    <mergeCell ref="N4:N5"/>
    <mergeCell ref="O4:O5"/>
  </mergeCells>
  <phoneticPr fontId="2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B1:D18"/>
  <sheetViews>
    <sheetView workbookViewId="0"/>
  </sheetViews>
  <sheetFormatPr defaultRowHeight="13.2"/>
  <sheetData>
    <row r="1" spans="2:4" ht="13.8" thickBot="1"/>
    <row r="2" spans="2:4" ht="13.8" thickBot="1">
      <c r="B2" s="95"/>
      <c r="C2" s="11" t="s">
        <v>79</v>
      </c>
      <c r="D2" s="12" t="s">
        <v>80</v>
      </c>
    </row>
    <row r="3" spans="2:4" ht="13.8" thickTop="1">
      <c r="B3" s="96" t="s">
        <v>81</v>
      </c>
      <c r="C3" s="97">
        <v>20.399999999999999</v>
      </c>
      <c r="D3" s="98">
        <v>115.6</v>
      </c>
    </row>
    <row r="4" spans="2:4">
      <c r="B4" s="99" t="s">
        <v>82</v>
      </c>
      <c r="C4" s="100">
        <v>24.2</v>
      </c>
      <c r="D4" s="101">
        <v>122</v>
      </c>
    </row>
    <row r="5" spans="2:4">
      <c r="B5" s="99" t="s">
        <v>83</v>
      </c>
      <c r="C5" s="100">
        <v>26.6</v>
      </c>
      <c r="D5" s="101">
        <v>127.8</v>
      </c>
    </row>
    <row r="6" spans="2:4">
      <c r="B6" s="99" t="s">
        <v>84</v>
      </c>
      <c r="C6" s="100">
        <v>29.1</v>
      </c>
      <c r="D6" s="101">
        <v>131.80000000000001</v>
      </c>
    </row>
    <row r="7" spans="2:4">
      <c r="B7" s="99" t="s">
        <v>85</v>
      </c>
      <c r="C7" s="100">
        <v>33.799999999999997</v>
      </c>
      <c r="D7" s="101">
        <v>138.4</v>
      </c>
    </row>
    <row r="8" spans="2:4">
      <c r="B8" s="99" t="s">
        <v>86</v>
      </c>
      <c r="C8" s="100">
        <v>38.799999999999997</v>
      </c>
      <c r="D8" s="101">
        <v>145.69999999999999</v>
      </c>
    </row>
    <row r="9" spans="2:4">
      <c r="B9" s="99" t="s">
        <v>87</v>
      </c>
      <c r="C9" s="100">
        <v>43.4</v>
      </c>
      <c r="D9" s="101">
        <v>153.1</v>
      </c>
    </row>
    <row r="10" spans="2:4">
      <c r="B10" s="99" t="s">
        <v>88</v>
      </c>
      <c r="C10" s="100">
        <v>50.4</v>
      </c>
      <c r="D10" s="101">
        <v>160.30000000000001</v>
      </c>
    </row>
    <row r="11" spans="2:4">
      <c r="B11" s="99" t="s">
        <v>89</v>
      </c>
      <c r="C11" s="100">
        <v>51</v>
      </c>
      <c r="D11" s="101">
        <v>165.2</v>
      </c>
    </row>
    <row r="12" spans="2:4">
      <c r="B12" s="99" t="s">
        <v>90</v>
      </c>
      <c r="C12" s="100">
        <v>57.9</v>
      </c>
      <c r="D12" s="101">
        <v>168</v>
      </c>
    </row>
    <row r="13" spans="2:4">
      <c r="B13" s="99" t="s">
        <v>91</v>
      </c>
      <c r="C13" s="100">
        <v>62.6</v>
      </c>
      <c r="D13" s="101">
        <v>173.9</v>
      </c>
    </row>
    <row r="14" spans="2:4">
      <c r="B14" s="99" t="s">
        <v>92</v>
      </c>
      <c r="C14" s="100">
        <v>57.3</v>
      </c>
      <c r="D14" s="101">
        <v>169.2</v>
      </c>
    </row>
    <row r="15" spans="2:4">
      <c r="B15" s="99" t="s">
        <v>93</v>
      </c>
      <c r="C15" s="8">
        <v>61.1</v>
      </c>
      <c r="D15" s="101">
        <v>170</v>
      </c>
    </row>
    <row r="16" spans="2:4">
      <c r="B16" s="99" t="s">
        <v>94</v>
      </c>
      <c r="C16" s="8">
        <v>64.3</v>
      </c>
      <c r="D16" s="101">
        <v>174</v>
      </c>
    </row>
    <row r="17" spans="2:4" ht="13.8" thickBot="1">
      <c r="B17" s="102" t="s">
        <v>95</v>
      </c>
      <c r="C17" s="103">
        <v>61.4</v>
      </c>
      <c r="D17" s="104">
        <v>169.1</v>
      </c>
    </row>
    <row r="18" spans="2:4" ht="13.8" thickBot="1">
      <c r="B18" s="105" t="s">
        <v>53</v>
      </c>
      <c r="C18" s="106">
        <f>ROUND(AVERAGE(C3:C17),1)</f>
        <v>45.5</v>
      </c>
      <c r="D18" s="107">
        <f>ROUND(AVERAGE(D3:D17),1)</f>
        <v>152.30000000000001</v>
      </c>
    </row>
  </sheetData>
  <phoneticPr fontId="2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A21" sqref="A21"/>
    </sheetView>
  </sheetViews>
  <sheetFormatPr defaultRowHeight="13.2"/>
  <sheetData>
    <row r="1" spans="1:7">
      <c r="A1" s="596"/>
      <c r="B1" s="392" t="s">
        <v>79</v>
      </c>
      <c r="C1" s="393" t="s">
        <v>80</v>
      </c>
      <c r="D1" s="394" t="s">
        <v>386</v>
      </c>
      <c r="E1" s="394" t="s">
        <v>387</v>
      </c>
      <c r="F1" s="394" t="s">
        <v>362</v>
      </c>
      <c r="G1" s="395" t="s">
        <v>388</v>
      </c>
    </row>
    <row r="2" spans="1:7" ht="13.8" thickBot="1">
      <c r="A2" s="597"/>
      <c r="B2" s="396" t="s">
        <v>389</v>
      </c>
      <c r="C2" s="397" t="s">
        <v>390</v>
      </c>
      <c r="D2" s="398" t="s">
        <v>391</v>
      </c>
      <c r="E2" s="398" t="s">
        <v>392</v>
      </c>
      <c r="F2" s="396" t="s">
        <v>393</v>
      </c>
      <c r="G2" s="399" t="s">
        <v>394</v>
      </c>
    </row>
    <row r="3" spans="1:7" ht="13.8" thickTop="1">
      <c r="A3" s="96" t="s">
        <v>81</v>
      </c>
      <c r="B3" s="97">
        <v>20.399999999999999</v>
      </c>
      <c r="C3" s="400">
        <v>115.6</v>
      </c>
      <c r="D3" s="401">
        <f>ROUND(B3-$B$18,1)</f>
        <v>-25.1</v>
      </c>
      <c r="E3" s="401">
        <f>ROUND(C3-$C$18,1)</f>
        <v>-36.700000000000003</v>
      </c>
      <c r="F3" s="236">
        <f>ROUND(D3*E3,2)</f>
        <v>921.17</v>
      </c>
      <c r="G3" s="15">
        <f>ROUND(D3*D3,2)</f>
        <v>630.01</v>
      </c>
    </row>
    <row r="4" spans="1:7">
      <c r="A4" s="99" t="s">
        <v>82</v>
      </c>
      <c r="B4" s="100">
        <v>24.2</v>
      </c>
      <c r="C4" s="402">
        <v>122</v>
      </c>
      <c r="D4" s="403">
        <f t="shared" ref="D4:D17" si="0">ROUND(B4-$B$18,1)</f>
        <v>-21.3</v>
      </c>
      <c r="E4" s="403">
        <f t="shared" ref="E4:E17" si="1">ROUND(C4-$C$18,1)</f>
        <v>-30.3</v>
      </c>
      <c r="F4" s="8">
        <f t="shared" ref="F4:F17" si="2">ROUND(D4*E4,2)</f>
        <v>645.39</v>
      </c>
      <c r="G4" s="9">
        <f t="shared" ref="G4:G17" si="3">ROUND(D4*D4,2)</f>
        <v>453.69</v>
      </c>
    </row>
    <row r="5" spans="1:7">
      <c r="A5" s="99" t="s">
        <v>83</v>
      </c>
      <c r="B5" s="100">
        <v>26.6</v>
      </c>
      <c r="C5" s="402">
        <v>127.8</v>
      </c>
      <c r="D5" s="403">
        <f t="shared" si="0"/>
        <v>-18.899999999999999</v>
      </c>
      <c r="E5" s="403">
        <f t="shared" si="1"/>
        <v>-24.5</v>
      </c>
      <c r="F5" s="8">
        <f t="shared" si="2"/>
        <v>463.05</v>
      </c>
      <c r="G5" s="9">
        <f t="shared" si="3"/>
        <v>357.21</v>
      </c>
    </row>
    <row r="6" spans="1:7">
      <c r="A6" s="99" t="s">
        <v>84</v>
      </c>
      <c r="B6" s="100">
        <v>29.1</v>
      </c>
      <c r="C6" s="402">
        <v>131.80000000000001</v>
      </c>
      <c r="D6" s="403">
        <f t="shared" si="0"/>
        <v>-16.399999999999999</v>
      </c>
      <c r="E6" s="403">
        <f t="shared" si="1"/>
        <v>-20.5</v>
      </c>
      <c r="F6" s="8">
        <f t="shared" si="2"/>
        <v>336.2</v>
      </c>
      <c r="G6" s="9">
        <f t="shared" si="3"/>
        <v>268.95999999999998</v>
      </c>
    </row>
    <row r="7" spans="1:7">
      <c r="A7" s="99" t="s">
        <v>85</v>
      </c>
      <c r="B7" s="100">
        <v>33.799999999999997</v>
      </c>
      <c r="C7" s="402">
        <v>138.4</v>
      </c>
      <c r="D7" s="403">
        <f t="shared" si="0"/>
        <v>-11.7</v>
      </c>
      <c r="E7" s="403">
        <f t="shared" si="1"/>
        <v>-13.9</v>
      </c>
      <c r="F7" s="8">
        <f t="shared" si="2"/>
        <v>162.63</v>
      </c>
      <c r="G7" s="9">
        <f t="shared" si="3"/>
        <v>136.88999999999999</v>
      </c>
    </row>
    <row r="8" spans="1:7">
      <c r="A8" s="99" t="s">
        <v>86</v>
      </c>
      <c r="B8" s="100">
        <v>38.799999999999997</v>
      </c>
      <c r="C8" s="402">
        <v>145.69999999999999</v>
      </c>
      <c r="D8" s="403">
        <f t="shared" si="0"/>
        <v>-6.7</v>
      </c>
      <c r="E8" s="403">
        <f t="shared" si="1"/>
        <v>-6.6</v>
      </c>
      <c r="F8" s="8">
        <f t="shared" si="2"/>
        <v>44.22</v>
      </c>
      <c r="G8" s="9">
        <f t="shared" si="3"/>
        <v>44.89</v>
      </c>
    </row>
    <row r="9" spans="1:7">
      <c r="A9" s="99" t="s">
        <v>87</v>
      </c>
      <c r="B9" s="100">
        <v>43.4</v>
      </c>
      <c r="C9" s="402">
        <v>153.1</v>
      </c>
      <c r="D9" s="403">
        <f t="shared" si="0"/>
        <v>-2.1</v>
      </c>
      <c r="E9" s="403">
        <f t="shared" si="1"/>
        <v>0.8</v>
      </c>
      <c r="F9" s="8">
        <f t="shared" si="2"/>
        <v>-1.68</v>
      </c>
      <c r="G9" s="9">
        <f t="shared" si="3"/>
        <v>4.41</v>
      </c>
    </row>
    <row r="10" spans="1:7">
      <c r="A10" s="99" t="s">
        <v>88</v>
      </c>
      <c r="B10" s="100">
        <v>50.4</v>
      </c>
      <c r="C10" s="402">
        <v>160.30000000000001</v>
      </c>
      <c r="D10" s="403">
        <f t="shared" si="0"/>
        <v>4.9000000000000004</v>
      </c>
      <c r="E10" s="403">
        <f t="shared" si="1"/>
        <v>8</v>
      </c>
      <c r="F10" s="8">
        <f t="shared" si="2"/>
        <v>39.200000000000003</v>
      </c>
      <c r="G10" s="9">
        <f t="shared" si="3"/>
        <v>24.01</v>
      </c>
    </row>
    <row r="11" spans="1:7">
      <c r="A11" s="99" t="s">
        <v>89</v>
      </c>
      <c r="B11" s="100">
        <v>51</v>
      </c>
      <c r="C11" s="402">
        <v>165.2</v>
      </c>
      <c r="D11" s="403">
        <f t="shared" si="0"/>
        <v>5.5</v>
      </c>
      <c r="E11" s="403">
        <f t="shared" si="1"/>
        <v>12.9</v>
      </c>
      <c r="F11" s="8">
        <f t="shared" si="2"/>
        <v>70.95</v>
      </c>
      <c r="G11" s="9">
        <f t="shared" si="3"/>
        <v>30.25</v>
      </c>
    </row>
    <row r="12" spans="1:7">
      <c r="A12" s="99" t="s">
        <v>90</v>
      </c>
      <c r="B12" s="100">
        <v>57.9</v>
      </c>
      <c r="C12" s="402">
        <v>168</v>
      </c>
      <c r="D12" s="403">
        <f t="shared" si="0"/>
        <v>12.4</v>
      </c>
      <c r="E12" s="403">
        <f t="shared" si="1"/>
        <v>15.7</v>
      </c>
      <c r="F12" s="8">
        <f t="shared" si="2"/>
        <v>194.68</v>
      </c>
      <c r="G12" s="9">
        <f t="shared" si="3"/>
        <v>153.76</v>
      </c>
    </row>
    <row r="13" spans="1:7">
      <c r="A13" s="99" t="s">
        <v>91</v>
      </c>
      <c r="B13" s="100">
        <v>62.6</v>
      </c>
      <c r="C13" s="402">
        <v>173.9</v>
      </c>
      <c r="D13" s="403">
        <f t="shared" si="0"/>
        <v>17.100000000000001</v>
      </c>
      <c r="E13" s="403">
        <f t="shared" si="1"/>
        <v>21.6</v>
      </c>
      <c r="F13" s="8">
        <f t="shared" si="2"/>
        <v>369.36</v>
      </c>
      <c r="G13" s="9">
        <f t="shared" si="3"/>
        <v>292.41000000000003</v>
      </c>
    </row>
    <row r="14" spans="1:7">
      <c r="A14" s="99" t="s">
        <v>92</v>
      </c>
      <c r="B14" s="100">
        <v>57.3</v>
      </c>
      <c r="C14" s="402">
        <v>169.2</v>
      </c>
      <c r="D14" s="403">
        <f t="shared" si="0"/>
        <v>11.8</v>
      </c>
      <c r="E14" s="403">
        <f t="shared" si="1"/>
        <v>16.899999999999999</v>
      </c>
      <c r="F14" s="8">
        <f t="shared" si="2"/>
        <v>199.42</v>
      </c>
      <c r="G14" s="9">
        <f t="shared" si="3"/>
        <v>139.24</v>
      </c>
    </row>
    <row r="15" spans="1:7">
      <c r="A15" s="99" t="s">
        <v>93</v>
      </c>
      <c r="B15" s="8">
        <v>61.1</v>
      </c>
      <c r="C15" s="402">
        <v>170</v>
      </c>
      <c r="D15" s="403">
        <f t="shared" si="0"/>
        <v>15.6</v>
      </c>
      <c r="E15" s="403">
        <f t="shared" si="1"/>
        <v>17.7</v>
      </c>
      <c r="F15" s="8">
        <f t="shared" si="2"/>
        <v>276.12</v>
      </c>
      <c r="G15" s="9">
        <f t="shared" si="3"/>
        <v>243.36</v>
      </c>
    </row>
    <row r="16" spans="1:7">
      <c r="A16" s="99" t="s">
        <v>94</v>
      </c>
      <c r="B16" s="8">
        <v>64.3</v>
      </c>
      <c r="C16" s="402">
        <v>174</v>
      </c>
      <c r="D16" s="403">
        <f t="shared" si="0"/>
        <v>18.8</v>
      </c>
      <c r="E16" s="403">
        <f t="shared" si="1"/>
        <v>21.7</v>
      </c>
      <c r="F16" s="8">
        <f t="shared" si="2"/>
        <v>407.96</v>
      </c>
      <c r="G16" s="9">
        <f t="shared" si="3"/>
        <v>353.44</v>
      </c>
    </row>
    <row r="17" spans="1:7" ht="13.8" thickBot="1">
      <c r="A17" s="404" t="s">
        <v>95</v>
      </c>
      <c r="B17" s="5">
        <v>61.4</v>
      </c>
      <c r="C17" s="405">
        <v>169.1</v>
      </c>
      <c r="D17" s="406">
        <f t="shared" si="0"/>
        <v>15.9</v>
      </c>
      <c r="E17" s="406">
        <f t="shared" si="1"/>
        <v>16.8</v>
      </c>
      <c r="F17" s="5">
        <f t="shared" si="2"/>
        <v>267.12</v>
      </c>
      <c r="G17" s="6">
        <f t="shared" si="3"/>
        <v>252.81</v>
      </c>
    </row>
    <row r="18" spans="1:7" ht="13.8" thickBot="1">
      <c r="A18" s="105" t="s">
        <v>53</v>
      </c>
      <c r="B18" s="106">
        <f>ROUND(AVERAGE(B3:B17),1)</f>
        <v>45.5</v>
      </c>
      <c r="C18" s="107">
        <f>ROUND(AVERAGE(C3:C17),1)</f>
        <v>152.30000000000001</v>
      </c>
      <c r="D18" s="598" t="s">
        <v>28</v>
      </c>
      <c r="E18" s="599"/>
      <c r="F18" s="407">
        <f>ROUND(SUM(F3:F17),2)</f>
        <v>4395.79</v>
      </c>
      <c r="G18" s="408">
        <f>ROUND(SUM(G3:G17),2)</f>
        <v>3385.34</v>
      </c>
    </row>
    <row r="19" spans="1:7" ht="13.8" thickBot="1">
      <c r="A19" s="235"/>
      <c r="B19" s="235"/>
      <c r="C19" s="235"/>
      <c r="D19" s="600" t="s">
        <v>155</v>
      </c>
      <c r="E19" s="601"/>
      <c r="F19" s="409">
        <f>ROUND(F18/14,2)</f>
        <v>313.99</v>
      </c>
      <c r="G19" s="410">
        <f>ROUND(G18/14,2)</f>
        <v>241.81</v>
      </c>
    </row>
  </sheetData>
  <mergeCells count="3">
    <mergeCell ref="A1:A2"/>
    <mergeCell ref="D18:E18"/>
    <mergeCell ref="D19:E19"/>
  </mergeCells>
  <phoneticPr fontId="2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21" sqref="A21"/>
    </sheetView>
  </sheetViews>
  <sheetFormatPr defaultRowHeight="13.2"/>
  <sheetData>
    <row r="1" spans="1:5">
      <c r="A1" s="596"/>
      <c r="B1" s="392" t="s">
        <v>79</v>
      </c>
      <c r="C1" s="392" t="s">
        <v>395</v>
      </c>
      <c r="D1" s="394" t="s">
        <v>187</v>
      </c>
      <c r="E1" s="395" t="s">
        <v>396</v>
      </c>
    </row>
    <row r="2" spans="1:5" ht="13.8" thickBot="1">
      <c r="A2" s="597"/>
      <c r="B2" s="396" t="s">
        <v>365</v>
      </c>
      <c r="C2" s="396" t="s">
        <v>367</v>
      </c>
      <c r="D2" s="411" t="s">
        <v>397</v>
      </c>
      <c r="E2" s="399" t="s">
        <v>398</v>
      </c>
    </row>
    <row r="3" spans="1:5" ht="13.8" thickTop="1">
      <c r="A3" s="96" t="s">
        <v>81</v>
      </c>
      <c r="B3" s="97">
        <v>20.399999999999999</v>
      </c>
      <c r="C3" s="97">
        <v>115.6</v>
      </c>
      <c r="D3" s="208">
        <f>1.2985*B3+93.21</f>
        <v>119.6994</v>
      </c>
      <c r="E3" s="412">
        <f>D3-C3</f>
        <v>4.0994000000000028</v>
      </c>
    </row>
    <row r="4" spans="1:5">
      <c r="A4" s="99" t="s">
        <v>82</v>
      </c>
      <c r="B4" s="100">
        <v>24.2</v>
      </c>
      <c r="C4" s="100">
        <v>122</v>
      </c>
      <c r="D4" s="211">
        <f t="shared" ref="D4:D17" si="0">1.2985*B4+93.21</f>
        <v>124.63369999999999</v>
      </c>
      <c r="E4" s="413">
        <f t="shared" ref="E4:E17" si="1">D4-C4</f>
        <v>2.6336999999999904</v>
      </c>
    </row>
    <row r="5" spans="1:5">
      <c r="A5" s="99" t="s">
        <v>83</v>
      </c>
      <c r="B5" s="100">
        <v>26.6</v>
      </c>
      <c r="C5" s="100">
        <v>127.8</v>
      </c>
      <c r="D5" s="211">
        <f t="shared" si="0"/>
        <v>127.7501</v>
      </c>
      <c r="E5" s="413">
        <f t="shared" si="1"/>
        <v>-4.9899999999993838E-2</v>
      </c>
    </row>
    <row r="6" spans="1:5">
      <c r="A6" s="99" t="s">
        <v>84</v>
      </c>
      <c r="B6" s="100">
        <v>29.1</v>
      </c>
      <c r="C6" s="100">
        <v>131.80000000000001</v>
      </c>
      <c r="D6" s="211">
        <f t="shared" si="0"/>
        <v>130.99635000000001</v>
      </c>
      <c r="E6" s="413">
        <f t="shared" si="1"/>
        <v>-0.80365000000000464</v>
      </c>
    </row>
    <row r="7" spans="1:5">
      <c r="A7" s="99" t="s">
        <v>85</v>
      </c>
      <c r="B7" s="100">
        <v>33.799999999999997</v>
      </c>
      <c r="C7" s="100">
        <v>138.4</v>
      </c>
      <c r="D7" s="211">
        <f t="shared" si="0"/>
        <v>137.0993</v>
      </c>
      <c r="E7" s="413">
        <f t="shared" si="1"/>
        <v>-1.3007000000000062</v>
      </c>
    </row>
    <row r="8" spans="1:5">
      <c r="A8" s="99" t="s">
        <v>86</v>
      </c>
      <c r="B8" s="100">
        <v>38.799999999999997</v>
      </c>
      <c r="C8" s="100">
        <v>145.69999999999999</v>
      </c>
      <c r="D8" s="211">
        <f t="shared" si="0"/>
        <v>143.59179999999998</v>
      </c>
      <c r="E8" s="413">
        <f t="shared" si="1"/>
        <v>-2.1082000000000107</v>
      </c>
    </row>
    <row r="9" spans="1:5">
      <c r="A9" s="99" t="s">
        <v>87</v>
      </c>
      <c r="B9" s="100">
        <v>43.4</v>
      </c>
      <c r="C9" s="100">
        <v>153.1</v>
      </c>
      <c r="D9" s="211">
        <f t="shared" si="0"/>
        <v>149.56489999999999</v>
      </c>
      <c r="E9" s="413">
        <f t="shared" si="1"/>
        <v>-3.5350999999999999</v>
      </c>
    </row>
    <row r="10" spans="1:5">
      <c r="A10" s="99" t="s">
        <v>88</v>
      </c>
      <c r="B10" s="100">
        <v>50.4</v>
      </c>
      <c r="C10" s="100">
        <v>160.30000000000001</v>
      </c>
      <c r="D10" s="211">
        <f t="shared" si="0"/>
        <v>158.65440000000001</v>
      </c>
      <c r="E10" s="413">
        <f t="shared" si="1"/>
        <v>-1.6456000000000017</v>
      </c>
    </row>
    <row r="11" spans="1:5">
      <c r="A11" s="99" t="s">
        <v>89</v>
      </c>
      <c r="B11" s="100">
        <v>51</v>
      </c>
      <c r="C11" s="100">
        <v>165.2</v>
      </c>
      <c r="D11" s="211">
        <f t="shared" si="0"/>
        <v>159.43349999999998</v>
      </c>
      <c r="E11" s="413">
        <f t="shared" si="1"/>
        <v>-5.7665000000000077</v>
      </c>
    </row>
    <row r="12" spans="1:5">
      <c r="A12" s="99" t="s">
        <v>90</v>
      </c>
      <c r="B12" s="100">
        <v>57.9</v>
      </c>
      <c r="C12" s="100">
        <v>168</v>
      </c>
      <c r="D12" s="211">
        <f t="shared" si="0"/>
        <v>168.39314999999999</v>
      </c>
      <c r="E12" s="413">
        <f t="shared" si="1"/>
        <v>0.39314999999999145</v>
      </c>
    </row>
    <row r="13" spans="1:5">
      <c r="A13" s="99" t="s">
        <v>91</v>
      </c>
      <c r="B13" s="100">
        <v>62.6</v>
      </c>
      <c r="C13" s="100">
        <v>173.9</v>
      </c>
      <c r="D13" s="211">
        <f t="shared" si="0"/>
        <v>174.49610000000001</v>
      </c>
      <c r="E13" s="413">
        <f t="shared" si="1"/>
        <v>0.59610000000000696</v>
      </c>
    </row>
    <row r="14" spans="1:5">
      <c r="A14" s="99" t="s">
        <v>92</v>
      </c>
      <c r="B14" s="100">
        <v>57.3</v>
      </c>
      <c r="C14" s="100">
        <v>169.2</v>
      </c>
      <c r="D14" s="211">
        <f t="shared" si="0"/>
        <v>167.61404999999999</v>
      </c>
      <c r="E14" s="413">
        <f t="shared" si="1"/>
        <v>-1.5859499999999969</v>
      </c>
    </row>
    <row r="15" spans="1:5">
      <c r="A15" s="99" t="s">
        <v>93</v>
      </c>
      <c r="B15" s="8">
        <v>61.1</v>
      </c>
      <c r="C15" s="100">
        <v>170</v>
      </c>
      <c r="D15" s="211">
        <f t="shared" si="0"/>
        <v>172.54835</v>
      </c>
      <c r="E15" s="413">
        <f t="shared" si="1"/>
        <v>2.5483499999999992</v>
      </c>
    </row>
    <row r="16" spans="1:5">
      <c r="A16" s="99" t="s">
        <v>94</v>
      </c>
      <c r="B16" s="8">
        <v>64.3</v>
      </c>
      <c r="C16" s="100">
        <v>174</v>
      </c>
      <c r="D16" s="211">
        <f t="shared" si="0"/>
        <v>176.70355000000001</v>
      </c>
      <c r="E16" s="413">
        <f t="shared" si="1"/>
        <v>2.703550000000007</v>
      </c>
    </row>
    <row r="17" spans="1:5" ht="13.8" thickBot="1">
      <c r="A17" s="102" t="s">
        <v>95</v>
      </c>
      <c r="B17" s="103">
        <v>61.4</v>
      </c>
      <c r="C17" s="343">
        <v>169.1</v>
      </c>
      <c r="D17" s="214">
        <f t="shared" si="0"/>
        <v>172.93789999999998</v>
      </c>
      <c r="E17" s="414">
        <f t="shared" si="1"/>
        <v>3.8378999999999905</v>
      </c>
    </row>
    <row r="18" spans="1:5">
      <c r="A18" s="415" t="s">
        <v>53</v>
      </c>
      <c r="B18" s="416">
        <f>ROUND(AVERAGE(B3:B17),1)</f>
        <v>45.5</v>
      </c>
      <c r="C18" s="416">
        <f>ROUND(AVERAGE(C3:C17),1)</f>
        <v>152.30000000000001</v>
      </c>
      <c r="D18" s="417">
        <f t="shared" ref="D18:E18" si="2">ROUND(AVERAGE(D3:D17),1)</f>
        <v>152.30000000000001</v>
      </c>
      <c r="E18" s="418">
        <f t="shared" si="2"/>
        <v>0</v>
      </c>
    </row>
    <row r="19" spans="1:5" ht="13.8" thickBot="1">
      <c r="A19" s="419" t="s">
        <v>155</v>
      </c>
      <c r="B19" s="420">
        <f>ROUND(VAR(B3:B17),2)</f>
        <v>241.81</v>
      </c>
      <c r="C19" s="420">
        <f>VAR(C3:C17)</f>
        <v>415.59780952381385</v>
      </c>
      <c r="D19" s="420">
        <f>VAR(D3:D17)-0.02</f>
        <v>407.69606391017226</v>
      </c>
      <c r="E19" s="421">
        <f>VAR(E3:E17)</f>
        <v>7.8958177673095316</v>
      </c>
    </row>
  </sheetData>
  <mergeCells count="1">
    <mergeCell ref="A1:A2"/>
  </mergeCells>
  <phoneticPr fontId="2"/>
  <pageMargins left="0.7" right="0.7" top="0.75" bottom="0.75" header="0.3" footer="0.3"/>
  <ignoredErrors>
    <ignoredError sqref="D19" 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>
  <dimension ref="B1:I26"/>
  <sheetViews>
    <sheetView workbookViewId="0"/>
  </sheetViews>
  <sheetFormatPr defaultRowHeight="13.2"/>
  <sheetData>
    <row r="1" spans="2:9" ht="13.8" thickBot="1"/>
    <row r="2" spans="2:9" ht="13.8" thickBot="1">
      <c r="B2" s="108"/>
      <c r="C2" s="109" t="s">
        <v>96</v>
      </c>
      <c r="D2" s="110" t="s">
        <v>97</v>
      </c>
      <c r="E2" s="111" t="s">
        <v>98</v>
      </c>
      <c r="F2" s="16"/>
      <c r="G2" s="109" t="s">
        <v>96</v>
      </c>
      <c r="H2" s="110" t="s">
        <v>97</v>
      </c>
      <c r="I2" s="111" t="s">
        <v>98</v>
      </c>
    </row>
    <row r="3" spans="2:9" ht="13.8" thickTop="1">
      <c r="B3" s="108">
        <v>1</v>
      </c>
      <c r="C3" s="112" t="s">
        <v>99</v>
      </c>
      <c r="D3" s="113">
        <v>4685</v>
      </c>
      <c r="E3" s="114">
        <v>2805</v>
      </c>
      <c r="F3" s="108">
        <v>25</v>
      </c>
      <c r="G3" s="115" t="s">
        <v>100</v>
      </c>
      <c r="H3" s="116">
        <v>1220</v>
      </c>
      <c r="I3" s="117">
        <v>808</v>
      </c>
    </row>
    <row r="4" spans="2:9">
      <c r="B4" s="108">
        <v>2</v>
      </c>
      <c r="C4" s="115" t="s">
        <v>101</v>
      </c>
      <c r="D4" s="116">
        <v>1114</v>
      </c>
      <c r="E4" s="118">
        <v>729</v>
      </c>
      <c r="F4" s="108">
        <v>26</v>
      </c>
      <c r="G4" s="115" t="s">
        <v>102</v>
      </c>
      <c r="H4" s="116">
        <v>2284</v>
      </c>
      <c r="I4" s="117">
        <v>1006</v>
      </c>
    </row>
    <row r="5" spans="2:9">
      <c r="B5" s="108">
        <v>3</v>
      </c>
      <c r="C5" s="115" t="s">
        <v>103</v>
      </c>
      <c r="D5" s="116">
        <v>1090</v>
      </c>
      <c r="E5" s="118">
        <v>742</v>
      </c>
      <c r="F5" s="108">
        <v>27</v>
      </c>
      <c r="G5" s="115" t="s">
        <v>104</v>
      </c>
      <c r="H5" s="116">
        <v>7767</v>
      </c>
      <c r="I5" s="117">
        <v>2790</v>
      </c>
    </row>
    <row r="6" spans="2:9">
      <c r="B6" s="108">
        <v>4</v>
      </c>
      <c r="C6" s="115" t="s">
        <v>105</v>
      </c>
      <c r="D6" s="116">
        <v>2034</v>
      </c>
      <c r="E6" s="118">
        <v>1299</v>
      </c>
      <c r="F6" s="108">
        <v>28</v>
      </c>
      <c r="G6" s="115" t="s">
        <v>106</v>
      </c>
      <c r="H6" s="116">
        <v>4793</v>
      </c>
      <c r="I6" s="117">
        <v>2318</v>
      </c>
    </row>
    <row r="7" spans="2:9">
      <c r="B7" s="108">
        <v>5</v>
      </c>
      <c r="C7" s="115" t="s">
        <v>107</v>
      </c>
      <c r="D7" s="116">
        <v>871</v>
      </c>
      <c r="E7" s="118">
        <v>590</v>
      </c>
      <c r="F7" s="108">
        <v>29</v>
      </c>
      <c r="G7" s="115" t="s">
        <v>108</v>
      </c>
      <c r="H7" s="116">
        <v>1173</v>
      </c>
      <c r="I7" s="117">
        <v>652</v>
      </c>
    </row>
    <row r="8" spans="2:9">
      <c r="B8" s="108">
        <v>6</v>
      </c>
      <c r="C8" s="115" t="s">
        <v>109</v>
      </c>
      <c r="D8" s="116">
        <v>954</v>
      </c>
      <c r="E8" s="118">
        <v>694</v>
      </c>
      <c r="F8" s="108">
        <v>30</v>
      </c>
      <c r="G8" s="115" t="s">
        <v>110</v>
      </c>
      <c r="H8" s="116">
        <v>817</v>
      </c>
      <c r="I8" s="117">
        <v>544</v>
      </c>
    </row>
    <row r="9" spans="2:9">
      <c r="B9" s="108">
        <v>7</v>
      </c>
      <c r="C9" s="115" t="s">
        <v>111</v>
      </c>
      <c r="D9" s="116">
        <v>1635</v>
      </c>
      <c r="E9" s="118">
        <v>1223</v>
      </c>
      <c r="F9" s="108">
        <v>31</v>
      </c>
      <c r="G9" s="115" t="s">
        <v>112</v>
      </c>
      <c r="H9" s="116">
        <v>486</v>
      </c>
      <c r="I9" s="117">
        <v>347</v>
      </c>
    </row>
    <row r="10" spans="2:9">
      <c r="B10" s="108">
        <v>8</v>
      </c>
      <c r="C10" s="115" t="s">
        <v>113</v>
      </c>
      <c r="D10" s="116">
        <v>2519</v>
      </c>
      <c r="E10" s="117">
        <v>1989</v>
      </c>
      <c r="F10" s="108">
        <v>32</v>
      </c>
      <c r="G10" s="115" t="s">
        <v>114</v>
      </c>
      <c r="H10" s="116">
        <v>591</v>
      </c>
      <c r="I10" s="117">
        <v>410</v>
      </c>
    </row>
    <row r="11" spans="2:9">
      <c r="B11" s="108">
        <v>9</v>
      </c>
      <c r="C11" s="115" t="s">
        <v>115</v>
      </c>
      <c r="D11" s="116">
        <v>1700</v>
      </c>
      <c r="E11" s="117">
        <v>1341</v>
      </c>
      <c r="F11" s="108">
        <v>33</v>
      </c>
      <c r="G11" s="115" t="s">
        <v>116</v>
      </c>
      <c r="H11" s="116">
        <v>1653</v>
      </c>
      <c r="I11" s="117">
        <v>1165</v>
      </c>
    </row>
    <row r="12" spans="2:9">
      <c r="B12" s="108">
        <v>10</v>
      </c>
      <c r="C12" s="115" t="s">
        <v>117</v>
      </c>
      <c r="D12" s="116">
        <v>1711</v>
      </c>
      <c r="E12" s="117">
        <v>1382</v>
      </c>
      <c r="F12" s="108">
        <v>34</v>
      </c>
      <c r="G12" s="115" t="s">
        <v>118</v>
      </c>
      <c r="H12" s="116">
        <v>2446</v>
      </c>
      <c r="I12" s="117">
        <v>1465</v>
      </c>
    </row>
    <row r="13" spans="2:9">
      <c r="B13" s="108">
        <v>11</v>
      </c>
      <c r="C13" s="115" t="s">
        <v>119</v>
      </c>
      <c r="D13" s="116">
        <v>6469</v>
      </c>
      <c r="E13" s="117">
        <v>3217</v>
      </c>
      <c r="F13" s="108">
        <v>35</v>
      </c>
      <c r="G13" s="115" t="s">
        <v>120</v>
      </c>
      <c r="H13" s="116">
        <v>1201</v>
      </c>
      <c r="I13" s="117">
        <v>822</v>
      </c>
    </row>
    <row r="14" spans="2:9">
      <c r="B14" s="108">
        <v>12</v>
      </c>
      <c r="C14" s="115" t="s">
        <v>121</v>
      </c>
      <c r="D14" s="116">
        <v>5520</v>
      </c>
      <c r="E14" s="117">
        <v>2824</v>
      </c>
      <c r="F14" s="108">
        <v>36</v>
      </c>
      <c r="G14" s="115" t="s">
        <v>122</v>
      </c>
      <c r="H14" s="116">
        <v>647</v>
      </c>
      <c r="I14" s="117">
        <v>458</v>
      </c>
    </row>
    <row r="15" spans="2:9">
      <c r="B15" s="108">
        <v>13</v>
      </c>
      <c r="C15" s="115" t="s">
        <v>123</v>
      </c>
      <c r="D15" s="116">
        <v>12367</v>
      </c>
      <c r="E15" s="117">
        <v>3145</v>
      </c>
      <c r="F15" s="108">
        <v>37</v>
      </c>
      <c r="G15" s="115" t="s">
        <v>124</v>
      </c>
      <c r="H15" s="116">
        <v>840</v>
      </c>
      <c r="I15" s="117">
        <v>593</v>
      </c>
    </row>
    <row r="16" spans="2:9">
      <c r="B16" s="108">
        <v>14</v>
      </c>
      <c r="C16" s="115" t="s">
        <v>125</v>
      </c>
      <c r="D16" s="116">
        <v>8100</v>
      </c>
      <c r="E16" s="117">
        <v>3054</v>
      </c>
      <c r="F16" s="108">
        <v>38</v>
      </c>
      <c r="G16" s="115" t="s">
        <v>126</v>
      </c>
      <c r="H16" s="116">
        <v>1181</v>
      </c>
      <c r="I16" s="117">
        <v>747</v>
      </c>
    </row>
    <row r="17" spans="2:9">
      <c r="B17" s="108">
        <v>15</v>
      </c>
      <c r="C17" s="115" t="s">
        <v>127</v>
      </c>
      <c r="D17" s="116">
        <v>1969</v>
      </c>
      <c r="E17" s="117">
        <v>1393</v>
      </c>
      <c r="F17" s="108">
        <v>39</v>
      </c>
      <c r="G17" s="115" t="s">
        <v>128</v>
      </c>
      <c r="H17" s="116">
        <v>621</v>
      </c>
      <c r="I17" s="117">
        <v>398</v>
      </c>
    </row>
    <row r="18" spans="2:9">
      <c r="B18" s="108">
        <v>16</v>
      </c>
      <c r="C18" s="115" t="s">
        <v>129</v>
      </c>
      <c r="D18" s="116">
        <v>671</v>
      </c>
      <c r="E18" s="117">
        <v>710</v>
      </c>
      <c r="F18" s="108">
        <v>40</v>
      </c>
      <c r="G18" s="115" t="s">
        <v>130</v>
      </c>
      <c r="H18" s="116">
        <v>4433</v>
      </c>
      <c r="I18" s="117">
        <v>2619</v>
      </c>
    </row>
    <row r="19" spans="2:9">
      <c r="B19" s="108">
        <v>17</v>
      </c>
      <c r="C19" s="115" t="s">
        <v>131</v>
      </c>
      <c r="D19" s="116">
        <v>716</v>
      </c>
      <c r="E19" s="117">
        <v>727</v>
      </c>
      <c r="F19" s="108">
        <v>41</v>
      </c>
      <c r="G19" s="115" t="s">
        <v>132</v>
      </c>
      <c r="H19" s="116">
        <v>704</v>
      </c>
      <c r="I19" s="117">
        <v>509</v>
      </c>
    </row>
    <row r="20" spans="2:9">
      <c r="B20" s="108">
        <v>18</v>
      </c>
      <c r="C20" s="115" t="s">
        <v>133</v>
      </c>
      <c r="D20" s="116">
        <v>1799</v>
      </c>
      <c r="E20" s="117">
        <v>514</v>
      </c>
      <c r="F20" s="108">
        <v>42</v>
      </c>
      <c r="G20" s="115" t="s">
        <v>134</v>
      </c>
      <c r="H20" s="116">
        <v>1158</v>
      </c>
      <c r="I20" s="117">
        <v>701</v>
      </c>
    </row>
    <row r="21" spans="2:9">
      <c r="B21" s="108">
        <v>19</v>
      </c>
      <c r="C21" s="115" t="s">
        <v>135</v>
      </c>
      <c r="D21" s="116">
        <v>924</v>
      </c>
      <c r="E21" s="117">
        <v>558</v>
      </c>
      <c r="F21" s="108">
        <v>43</v>
      </c>
      <c r="G21" s="115" t="s">
        <v>136</v>
      </c>
      <c r="H21" s="116">
        <v>1515</v>
      </c>
      <c r="I21" s="117">
        <v>1039</v>
      </c>
    </row>
    <row r="22" spans="2:9">
      <c r="B22" s="108">
        <v>20</v>
      </c>
      <c r="C22" s="115" t="s">
        <v>137</v>
      </c>
      <c r="D22" s="116">
        <v>998</v>
      </c>
      <c r="E22" s="117">
        <v>1380</v>
      </c>
      <c r="F22" s="108">
        <v>44</v>
      </c>
      <c r="G22" s="115" t="s">
        <v>138</v>
      </c>
      <c r="H22" s="116">
        <v>996</v>
      </c>
      <c r="I22" s="117">
        <v>695</v>
      </c>
    </row>
    <row r="23" spans="2:9">
      <c r="B23" s="108">
        <v>21</v>
      </c>
      <c r="C23" s="115" t="s">
        <v>139</v>
      </c>
      <c r="D23" s="116">
        <v>1739</v>
      </c>
      <c r="E23" s="117">
        <v>1302</v>
      </c>
      <c r="F23" s="108">
        <v>45</v>
      </c>
      <c r="G23" s="115" t="s">
        <v>140</v>
      </c>
      <c r="H23" s="116">
        <v>930</v>
      </c>
      <c r="I23" s="117">
        <v>678</v>
      </c>
    </row>
    <row r="24" spans="2:9">
      <c r="B24" s="108">
        <v>22</v>
      </c>
      <c r="C24" s="115" t="s">
        <v>141</v>
      </c>
      <c r="D24" s="116">
        <v>3196</v>
      </c>
      <c r="E24" s="117">
        <v>2228</v>
      </c>
      <c r="F24" s="108">
        <v>46</v>
      </c>
      <c r="G24" s="115" t="s">
        <v>142</v>
      </c>
      <c r="H24" s="116">
        <v>1390</v>
      </c>
      <c r="I24" s="117">
        <v>957</v>
      </c>
    </row>
    <row r="25" spans="2:9" ht="13.8" thickBot="1">
      <c r="B25" s="108">
        <v>23</v>
      </c>
      <c r="C25" s="115" t="s">
        <v>143</v>
      </c>
      <c r="D25" s="116">
        <v>6561</v>
      </c>
      <c r="E25" s="117">
        <v>4207</v>
      </c>
      <c r="F25" s="108">
        <v>47</v>
      </c>
      <c r="G25" s="119" t="s">
        <v>144</v>
      </c>
      <c r="H25" s="120">
        <v>1208</v>
      </c>
      <c r="I25" s="121">
        <v>871</v>
      </c>
    </row>
    <row r="26" spans="2:9" ht="13.8" thickBot="1">
      <c r="B26" s="108">
        <v>24</v>
      </c>
      <c r="C26" s="119" t="s">
        <v>145</v>
      </c>
      <c r="D26" s="120">
        <v>1564</v>
      </c>
      <c r="E26" s="121">
        <v>1163</v>
      </c>
      <c r="F26" s="122"/>
      <c r="G26" s="122"/>
      <c r="H26" s="123" t="s">
        <v>146</v>
      </c>
      <c r="I26" s="123" t="s">
        <v>147</v>
      </c>
    </row>
  </sheetData>
  <phoneticPr fontId="2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B1:G52"/>
  <sheetViews>
    <sheetView workbookViewId="0"/>
  </sheetViews>
  <sheetFormatPr defaultRowHeight="13.2"/>
  <cols>
    <col min="4" max="6" width="15.6640625" bestFit="1" customWidth="1"/>
    <col min="7" max="7" width="14.77734375" bestFit="1" customWidth="1"/>
  </cols>
  <sheetData>
    <row r="1" spans="2:7" ht="13.8" thickBot="1"/>
    <row r="2" spans="2:7">
      <c r="B2" s="124"/>
      <c r="C2" s="602" t="s">
        <v>96</v>
      </c>
      <c r="D2" s="125" t="s">
        <v>148</v>
      </c>
      <c r="E2" s="125" t="s">
        <v>149</v>
      </c>
      <c r="F2" s="125" t="s">
        <v>150</v>
      </c>
      <c r="G2" s="126" t="s">
        <v>98</v>
      </c>
    </row>
    <row r="3" spans="2:7" ht="13.8" thickBot="1">
      <c r="B3" s="124"/>
      <c r="C3" s="603"/>
      <c r="D3" s="127" t="s">
        <v>151</v>
      </c>
      <c r="E3" s="127" t="s">
        <v>152</v>
      </c>
      <c r="F3" s="127" t="s">
        <v>153</v>
      </c>
      <c r="G3" s="128" t="s">
        <v>154</v>
      </c>
    </row>
    <row r="4" spans="2:7" ht="13.8" thickTop="1">
      <c r="B4" s="124">
        <v>1</v>
      </c>
      <c r="C4" s="112" t="s">
        <v>99</v>
      </c>
      <c r="D4" s="113">
        <v>48</v>
      </c>
      <c r="E4" s="129">
        <v>425</v>
      </c>
      <c r="F4" s="129">
        <v>2062</v>
      </c>
      <c r="G4" s="114">
        <v>2805</v>
      </c>
    </row>
    <row r="5" spans="2:7">
      <c r="B5" s="124">
        <v>2</v>
      </c>
      <c r="C5" s="115" t="s">
        <v>101</v>
      </c>
      <c r="D5" s="116">
        <v>10</v>
      </c>
      <c r="E5" s="130">
        <v>124</v>
      </c>
      <c r="F5" s="130">
        <v>475</v>
      </c>
      <c r="G5" s="118">
        <v>729</v>
      </c>
    </row>
    <row r="6" spans="2:7">
      <c r="B6" s="124">
        <v>3</v>
      </c>
      <c r="C6" s="115" t="s">
        <v>103</v>
      </c>
      <c r="D6" s="116">
        <v>14</v>
      </c>
      <c r="E6" s="130">
        <v>147</v>
      </c>
      <c r="F6" s="130">
        <v>445</v>
      </c>
      <c r="G6" s="118">
        <v>742</v>
      </c>
    </row>
    <row r="7" spans="2:7">
      <c r="B7" s="124">
        <v>4</v>
      </c>
      <c r="C7" s="115" t="s">
        <v>105</v>
      </c>
      <c r="D7" s="116">
        <v>9</v>
      </c>
      <c r="E7" s="130">
        <v>223</v>
      </c>
      <c r="F7" s="130">
        <v>889</v>
      </c>
      <c r="G7" s="118">
        <v>1299</v>
      </c>
    </row>
    <row r="8" spans="2:7">
      <c r="B8" s="124">
        <v>5</v>
      </c>
      <c r="C8" s="115" t="s">
        <v>107</v>
      </c>
      <c r="D8" s="116">
        <v>10</v>
      </c>
      <c r="E8" s="130">
        <v>123</v>
      </c>
      <c r="F8" s="130">
        <v>364</v>
      </c>
      <c r="G8" s="118">
        <v>590</v>
      </c>
    </row>
    <row r="9" spans="2:7">
      <c r="B9" s="124">
        <v>6</v>
      </c>
      <c r="C9" s="115" t="s">
        <v>109</v>
      </c>
      <c r="D9" s="116">
        <v>6</v>
      </c>
      <c r="E9" s="130">
        <v>161</v>
      </c>
      <c r="F9" s="130">
        <v>386</v>
      </c>
      <c r="G9" s="118">
        <v>694</v>
      </c>
    </row>
    <row r="10" spans="2:7">
      <c r="B10" s="124">
        <v>7</v>
      </c>
      <c r="C10" s="115" t="s">
        <v>111</v>
      </c>
      <c r="D10" s="116">
        <v>9</v>
      </c>
      <c r="E10" s="130">
        <v>267</v>
      </c>
      <c r="F10" s="130">
        <v>667</v>
      </c>
      <c r="G10" s="118">
        <v>1223</v>
      </c>
    </row>
    <row r="11" spans="2:7">
      <c r="B11" s="124">
        <v>8</v>
      </c>
      <c r="C11" s="115" t="s">
        <v>113</v>
      </c>
      <c r="D11" s="116">
        <v>11</v>
      </c>
      <c r="E11" s="130">
        <v>386</v>
      </c>
      <c r="F11" s="130">
        <v>975</v>
      </c>
      <c r="G11" s="117">
        <v>1989</v>
      </c>
    </row>
    <row r="12" spans="2:7">
      <c r="B12" s="124">
        <v>9</v>
      </c>
      <c r="C12" s="115" t="s">
        <v>115</v>
      </c>
      <c r="D12" s="116">
        <v>6</v>
      </c>
      <c r="E12" s="130">
        <v>290</v>
      </c>
      <c r="F12" s="130">
        <v>677</v>
      </c>
      <c r="G12" s="117">
        <v>1341</v>
      </c>
    </row>
    <row r="13" spans="2:7">
      <c r="B13" s="124">
        <v>10</v>
      </c>
      <c r="C13" s="115" t="s">
        <v>117</v>
      </c>
      <c r="D13" s="116">
        <v>7</v>
      </c>
      <c r="E13" s="130">
        <v>299</v>
      </c>
      <c r="F13" s="130">
        <v>683</v>
      </c>
      <c r="G13" s="117">
        <v>1382</v>
      </c>
    </row>
    <row r="14" spans="2:7">
      <c r="B14" s="124">
        <v>11</v>
      </c>
      <c r="C14" s="115" t="s">
        <v>119</v>
      </c>
      <c r="D14" s="116">
        <v>6</v>
      </c>
      <c r="E14" s="130">
        <v>701</v>
      </c>
      <c r="F14" s="130">
        <v>2070</v>
      </c>
      <c r="G14" s="117">
        <v>3217</v>
      </c>
    </row>
    <row r="15" spans="2:7">
      <c r="B15" s="124">
        <v>12</v>
      </c>
      <c r="C15" s="115" t="s">
        <v>121</v>
      </c>
      <c r="D15" s="116">
        <v>12</v>
      </c>
      <c r="E15" s="130">
        <v>429</v>
      </c>
      <c r="F15" s="130">
        <v>1855</v>
      </c>
      <c r="G15" s="117">
        <v>2824</v>
      </c>
    </row>
    <row r="16" spans="2:7">
      <c r="B16" s="124">
        <v>13</v>
      </c>
      <c r="C16" s="115" t="s">
        <v>123</v>
      </c>
      <c r="D16" s="116">
        <v>4</v>
      </c>
      <c r="E16" s="130">
        <v>1425</v>
      </c>
      <c r="F16" s="130">
        <v>8092</v>
      </c>
      <c r="G16" s="117">
        <v>3145</v>
      </c>
    </row>
    <row r="17" spans="2:7">
      <c r="B17" s="124">
        <v>14</v>
      </c>
      <c r="C17" s="115" t="s">
        <v>125</v>
      </c>
      <c r="D17" s="116">
        <v>7</v>
      </c>
      <c r="E17" s="130">
        <v>777</v>
      </c>
      <c r="F17" s="130">
        <v>2911</v>
      </c>
      <c r="G17" s="117">
        <v>3054</v>
      </c>
    </row>
    <row r="18" spans="2:7">
      <c r="B18" s="124">
        <v>15</v>
      </c>
      <c r="C18" s="115" t="s">
        <v>127</v>
      </c>
      <c r="D18" s="116">
        <v>16</v>
      </c>
      <c r="E18" s="130">
        <v>332</v>
      </c>
      <c r="F18" s="130">
        <v>822</v>
      </c>
      <c r="G18" s="117">
        <v>1393</v>
      </c>
    </row>
    <row r="19" spans="2:7">
      <c r="B19" s="124">
        <v>16</v>
      </c>
      <c r="C19" s="115" t="s">
        <v>129</v>
      </c>
      <c r="D19" s="116">
        <v>7</v>
      </c>
      <c r="E19" s="130">
        <v>180</v>
      </c>
      <c r="F19" s="130">
        <v>390</v>
      </c>
      <c r="G19" s="117">
        <v>710</v>
      </c>
    </row>
    <row r="20" spans="2:7">
      <c r="B20" s="124">
        <v>17</v>
      </c>
      <c r="C20" s="115" t="s">
        <v>131</v>
      </c>
      <c r="D20" s="116">
        <v>5</v>
      </c>
      <c r="E20" s="130">
        <v>157</v>
      </c>
      <c r="F20" s="130">
        <v>448</v>
      </c>
      <c r="G20" s="117">
        <v>727</v>
      </c>
    </row>
    <row r="21" spans="2:7">
      <c r="B21" s="124">
        <v>18</v>
      </c>
      <c r="C21" s="115" t="s">
        <v>133</v>
      </c>
      <c r="D21" s="116">
        <v>3</v>
      </c>
      <c r="E21" s="130">
        <v>122</v>
      </c>
      <c r="F21" s="130">
        <v>296</v>
      </c>
      <c r="G21" s="117">
        <v>514</v>
      </c>
    </row>
    <row r="22" spans="2:7">
      <c r="B22" s="124">
        <v>19</v>
      </c>
      <c r="C22" s="115" t="s">
        <v>135</v>
      </c>
      <c r="D22" s="116">
        <v>3</v>
      </c>
      <c r="E22" s="130">
        <v>112</v>
      </c>
      <c r="F22" s="130">
        <v>300</v>
      </c>
      <c r="G22" s="117">
        <v>558</v>
      </c>
    </row>
    <row r="23" spans="2:7">
      <c r="B23" s="124">
        <v>20</v>
      </c>
      <c r="C23" s="115" t="s">
        <v>137</v>
      </c>
      <c r="D23" s="116">
        <v>14</v>
      </c>
      <c r="E23" s="130">
        <v>300</v>
      </c>
      <c r="F23" s="130">
        <v>746</v>
      </c>
      <c r="G23" s="117">
        <v>1380</v>
      </c>
    </row>
    <row r="24" spans="2:7">
      <c r="B24" s="124">
        <v>21</v>
      </c>
      <c r="C24" s="115" t="s">
        <v>139</v>
      </c>
      <c r="D24" s="116">
        <v>7</v>
      </c>
      <c r="E24" s="130">
        <v>306</v>
      </c>
      <c r="F24" s="130">
        <v>681</v>
      </c>
      <c r="G24" s="117">
        <v>1302</v>
      </c>
    </row>
    <row r="25" spans="2:7">
      <c r="B25" s="124">
        <v>22</v>
      </c>
      <c r="C25" s="115" t="s">
        <v>141</v>
      </c>
      <c r="D25" s="116">
        <v>9</v>
      </c>
      <c r="E25" s="130">
        <v>612</v>
      </c>
      <c r="F25" s="130">
        <v>1312</v>
      </c>
      <c r="G25" s="117">
        <v>2228</v>
      </c>
    </row>
    <row r="26" spans="2:7">
      <c r="B26" s="124">
        <v>23</v>
      </c>
      <c r="C26" s="115" t="s">
        <v>143</v>
      </c>
      <c r="D26" s="116">
        <v>10</v>
      </c>
      <c r="E26" s="130">
        <v>1195</v>
      </c>
      <c r="F26" s="130">
        <v>2802</v>
      </c>
      <c r="G26" s="117">
        <v>4207</v>
      </c>
    </row>
    <row r="27" spans="2:7">
      <c r="B27" s="124">
        <v>24</v>
      </c>
      <c r="C27" s="115" t="s">
        <v>145</v>
      </c>
      <c r="D27" s="116">
        <v>8</v>
      </c>
      <c r="E27" s="130">
        <v>272</v>
      </c>
      <c r="F27" s="130">
        <v>616</v>
      </c>
      <c r="G27" s="117">
        <v>1163</v>
      </c>
    </row>
    <row r="28" spans="2:7">
      <c r="B28" s="124">
        <v>25</v>
      </c>
      <c r="C28" s="112" t="s">
        <v>100</v>
      </c>
      <c r="D28" s="113">
        <v>4</v>
      </c>
      <c r="E28" s="129">
        <v>206</v>
      </c>
      <c r="F28" s="129">
        <v>456</v>
      </c>
      <c r="G28" s="131">
        <v>808</v>
      </c>
    </row>
    <row r="29" spans="2:7">
      <c r="B29" s="124">
        <v>26</v>
      </c>
      <c r="C29" s="115" t="s">
        <v>102</v>
      </c>
      <c r="D29" s="116">
        <v>4</v>
      </c>
      <c r="E29" s="130">
        <v>271</v>
      </c>
      <c r="F29" s="130">
        <v>995</v>
      </c>
      <c r="G29" s="117">
        <v>1006</v>
      </c>
    </row>
    <row r="30" spans="2:7">
      <c r="B30" s="124">
        <v>27</v>
      </c>
      <c r="C30" s="115" t="s">
        <v>104</v>
      </c>
      <c r="D30" s="116">
        <v>3</v>
      </c>
      <c r="E30" s="130">
        <v>1024</v>
      </c>
      <c r="F30" s="130">
        <v>3868</v>
      </c>
      <c r="G30" s="117">
        <v>2790</v>
      </c>
    </row>
    <row r="31" spans="2:7">
      <c r="B31" s="124">
        <v>28</v>
      </c>
      <c r="C31" s="115" t="s">
        <v>106</v>
      </c>
      <c r="D31" s="116">
        <v>7</v>
      </c>
      <c r="E31" s="130">
        <v>566</v>
      </c>
      <c r="F31" s="130">
        <v>1872</v>
      </c>
      <c r="G31" s="117">
        <v>2318</v>
      </c>
    </row>
    <row r="32" spans="2:7">
      <c r="B32" s="124">
        <v>29</v>
      </c>
      <c r="C32" s="115" t="s">
        <v>108</v>
      </c>
      <c r="D32" s="116">
        <v>1</v>
      </c>
      <c r="E32" s="130">
        <v>104</v>
      </c>
      <c r="F32" s="130">
        <v>393</v>
      </c>
      <c r="G32" s="117">
        <v>652</v>
      </c>
    </row>
    <row r="33" spans="2:7">
      <c r="B33" s="124">
        <v>30</v>
      </c>
      <c r="C33" s="115" t="s">
        <v>110</v>
      </c>
      <c r="D33" s="116">
        <v>3</v>
      </c>
      <c r="E33" s="130">
        <v>91</v>
      </c>
      <c r="F33" s="130">
        <v>338</v>
      </c>
      <c r="G33" s="117">
        <v>544</v>
      </c>
    </row>
    <row r="34" spans="2:7">
      <c r="B34" s="124">
        <v>31</v>
      </c>
      <c r="C34" s="115" t="s">
        <v>112</v>
      </c>
      <c r="D34" s="116">
        <v>4</v>
      </c>
      <c r="E34" s="130">
        <v>58</v>
      </c>
      <c r="F34" s="130">
        <v>208</v>
      </c>
      <c r="G34" s="117">
        <v>347</v>
      </c>
    </row>
    <row r="35" spans="2:7">
      <c r="B35" s="124">
        <v>32</v>
      </c>
      <c r="C35" s="115" t="s">
        <v>114</v>
      </c>
      <c r="D35" s="116">
        <v>6</v>
      </c>
      <c r="E35" s="130">
        <v>80</v>
      </c>
      <c r="F35" s="130">
        <v>259</v>
      </c>
      <c r="G35" s="117">
        <v>410</v>
      </c>
    </row>
    <row r="36" spans="2:7">
      <c r="B36" s="124">
        <v>33</v>
      </c>
      <c r="C36" s="115" t="s">
        <v>116</v>
      </c>
      <c r="D36" s="116">
        <v>5</v>
      </c>
      <c r="E36" s="130">
        <v>238</v>
      </c>
      <c r="F36" s="130">
        <v>660</v>
      </c>
      <c r="G36" s="117">
        <v>1165</v>
      </c>
    </row>
    <row r="37" spans="2:7">
      <c r="B37" s="124">
        <v>34</v>
      </c>
      <c r="C37" s="115" t="s">
        <v>118</v>
      </c>
      <c r="D37" s="116">
        <v>11</v>
      </c>
      <c r="E37" s="130">
        <v>342</v>
      </c>
      <c r="F37" s="130">
        <v>1086</v>
      </c>
      <c r="G37" s="117">
        <v>1465</v>
      </c>
    </row>
    <row r="38" spans="2:7">
      <c r="B38" s="124">
        <v>35</v>
      </c>
      <c r="C38" s="115" t="s">
        <v>120</v>
      </c>
      <c r="D38" s="116">
        <v>5</v>
      </c>
      <c r="E38" s="130">
        <v>162</v>
      </c>
      <c r="F38" s="130">
        <v>506</v>
      </c>
      <c r="G38" s="117">
        <v>822</v>
      </c>
    </row>
    <row r="39" spans="2:7">
      <c r="B39" s="124">
        <v>36</v>
      </c>
      <c r="C39" s="115" t="s">
        <v>122</v>
      </c>
      <c r="D39" s="116">
        <v>4</v>
      </c>
      <c r="E39" s="130">
        <v>79</v>
      </c>
      <c r="F39" s="130">
        <v>269</v>
      </c>
      <c r="G39" s="117">
        <v>458</v>
      </c>
    </row>
    <row r="40" spans="2:7">
      <c r="B40" s="124">
        <v>37</v>
      </c>
      <c r="C40" s="115" t="s">
        <v>124</v>
      </c>
      <c r="D40" s="116">
        <v>5</v>
      </c>
      <c r="E40" s="130">
        <v>117</v>
      </c>
      <c r="F40" s="130">
        <v>372</v>
      </c>
      <c r="G40" s="117">
        <v>593</v>
      </c>
    </row>
    <row r="41" spans="2:7">
      <c r="B41" s="124">
        <v>38</v>
      </c>
      <c r="C41" s="115" t="s">
        <v>126</v>
      </c>
      <c r="D41" s="116">
        <v>7</v>
      </c>
      <c r="E41" s="130">
        <v>148</v>
      </c>
      <c r="F41" s="130">
        <v>499</v>
      </c>
      <c r="G41" s="117">
        <v>747</v>
      </c>
    </row>
    <row r="42" spans="2:7">
      <c r="B42" s="124">
        <v>39</v>
      </c>
      <c r="C42" s="115" t="s">
        <v>128</v>
      </c>
      <c r="D42" s="116">
        <v>5</v>
      </c>
      <c r="E42" s="130">
        <v>56</v>
      </c>
      <c r="F42" s="130">
        <v>268</v>
      </c>
      <c r="G42" s="117">
        <v>398</v>
      </c>
    </row>
    <row r="43" spans="2:7">
      <c r="B43" s="124">
        <v>40</v>
      </c>
      <c r="C43" s="115" t="s">
        <v>130</v>
      </c>
      <c r="D43" s="116">
        <v>8</v>
      </c>
      <c r="E43" s="130">
        <v>453</v>
      </c>
      <c r="F43" s="130">
        <v>1961</v>
      </c>
      <c r="G43" s="117">
        <v>2619</v>
      </c>
    </row>
    <row r="44" spans="2:7">
      <c r="B44" s="124">
        <v>41</v>
      </c>
      <c r="C44" s="115" t="s">
        <v>132</v>
      </c>
      <c r="D44" s="116">
        <v>4</v>
      </c>
      <c r="E44" s="130">
        <v>96</v>
      </c>
      <c r="F44" s="130">
        <v>294</v>
      </c>
      <c r="G44" s="117">
        <v>509</v>
      </c>
    </row>
    <row r="45" spans="2:7">
      <c r="B45" s="124">
        <v>42</v>
      </c>
      <c r="C45" s="115" t="s">
        <v>134</v>
      </c>
      <c r="D45" s="116">
        <v>8</v>
      </c>
      <c r="E45" s="130">
        <v>117</v>
      </c>
      <c r="F45" s="130">
        <v>498</v>
      </c>
      <c r="G45" s="117">
        <v>701</v>
      </c>
    </row>
    <row r="46" spans="2:7">
      <c r="B46" s="124">
        <v>43</v>
      </c>
      <c r="C46" s="115" t="s">
        <v>136</v>
      </c>
      <c r="D46" s="116">
        <v>10</v>
      </c>
      <c r="E46" s="130">
        <v>160</v>
      </c>
      <c r="F46" s="130">
        <v>619</v>
      </c>
      <c r="G46" s="117">
        <v>1039</v>
      </c>
    </row>
    <row r="47" spans="2:7">
      <c r="B47" s="124">
        <v>44</v>
      </c>
      <c r="C47" s="115" t="s">
        <v>138</v>
      </c>
      <c r="D47" s="116">
        <v>9</v>
      </c>
      <c r="E47" s="130">
        <v>126</v>
      </c>
      <c r="F47" s="130">
        <v>421</v>
      </c>
      <c r="G47" s="117">
        <v>695</v>
      </c>
    </row>
    <row r="48" spans="2:7">
      <c r="B48" s="124">
        <v>45</v>
      </c>
      <c r="C48" s="115" t="s">
        <v>140</v>
      </c>
      <c r="D48" s="116">
        <v>13</v>
      </c>
      <c r="E48" s="130">
        <v>104</v>
      </c>
      <c r="F48" s="130">
        <v>388</v>
      </c>
      <c r="G48" s="117">
        <v>678</v>
      </c>
    </row>
    <row r="49" spans="2:7">
      <c r="B49" s="124">
        <v>46</v>
      </c>
      <c r="C49" s="115" t="s">
        <v>142</v>
      </c>
      <c r="D49" s="116">
        <v>17</v>
      </c>
      <c r="E49" s="130">
        <v>143</v>
      </c>
      <c r="F49" s="130">
        <v>596</v>
      </c>
      <c r="G49" s="117">
        <v>957</v>
      </c>
    </row>
    <row r="50" spans="2:7" ht="13.8" thickBot="1">
      <c r="B50" s="124">
        <v>47</v>
      </c>
      <c r="C50" s="132" t="s">
        <v>144</v>
      </c>
      <c r="D50" s="133">
        <v>4</v>
      </c>
      <c r="E50" s="134">
        <v>72</v>
      </c>
      <c r="F50" s="134">
        <v>507</v>
      </c>
      <c r="G50" s="135">
        <v>871</v>
      </c>
    </row>
    <row r="51" spans="2:7">
      <c r="B51" s="122"/>
      <c r="C51" s="136" t="s">
        <v>53</v>
      </c>
      <c r="D51" s="137">
        <v>8.3000000000000007</v>
      </c>
      <c r="E51" s="137">
        <v>301.7</v>
      </c>
      <c r="F51" s="137">
        <v>1027.5999999999999</v>
      </c>
      <c r="G51" s="138">
        <v>1315.1</v>
      </c>
    </row>
    <row r="52" spans="2:7" ht="13.8" thickBot="1">
      <c r="B52" s="16"/>
      <c r="C52" s="139" t="s">
        <v>155</v>
      </c>
      <c r="D52" s="140">
        <v>48.28</v>
      </c>
      <c r="E52" s="140">
        <v>88140.49</v>
      </c>
      <c r="F52" s="140">
        <v>1744459.2</v>
      </c>
      <c r="G52" s="141">
        <v>883617.45</v>
      </c>
    </row>
  </sheetData>
  <mergeCells count="1">
    <mergeCell ref="C2:C3"/>
  </mergeCells>
  <phoneticPr fontId="2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B1:G17"/>
  <sheetViews>
    <sheetView workbookViewId="0"/>
  </sheetViews>
  <sheetFormatPr defaultRowHeight="13.2"/>
  <sheetData>
    <row r="1" spans="2:7" ht="13.8" thickBot="1"/>
    <row r="2" spans="2:7" ht="39.6">
      <c r="B2" s="604" t="s">
        <v>157</v>
      </c>
      <c r="C2" s="606" t="s">
        <v>158</v>
      </c>
      <c r="D2" s="142" t="s">
        <v>159</v>
      </c>
      <c r="E2" s="143" t="s">
        <v>160</v>
      </c>
      <c r="F2" s="142" t="s">
        <v>161</v>
      </c>
      <c r="G2" s="144" t="s">
        <v>162</v>
      </c>
    </row>
    <row r="3" spans="2:7" ht="13.8" thickBot="1">
      <c r="B3" s="605"/>
      <c r="C3" s="607"/>
      <c r="D3" s="145" t="s">
        <v>163</v>
      </c>
      <c r="E3" s="146" t="s">
        <v>164</v>
      </c>
      <c r="F3" s="145" t="s">
        <v>165</v>
      </c>
      <c r="G3" s="147" t="s">
        <v>166</v>
      </c>
    </row>
    <row r="4" spans="2:7" ht="13.8" thickTop="1">
      <c r="B4" s="148">
        <v>1</v>
      </c>
      <c r="C4" s="149" t="s">
        <v>167</v>
      </c>
      <c r="D4" s="150">
        <v>30250</v>
      </c>
      <c r="E4" s="151">
        <v>1200</v>
      </c>
      <c r="F4" s="152">
        <v>3.6</v>
      </c>
      <c r="G4" s="153">
        <v>45</v>
      </c>
    </row>
    <row r="5" spans="2:7">
      <c r="B5" s="154">
        <v>2</v>
      </c>
      <c r="C5" s="155" t="s">
        <v>168</v>
      </c>
      <c r="D5" s="156">
        <v>34800</v>
      </c>
      <c r="E5" s="157">
        <v>1210</v>
      </c>
      <c r="F5" s="158">
        <v>4.5999999999999996</v>
      </c>
      <c r="G5" s="159">
        <v>40</v>
      </c>
    </row>
    <row r="6" spans="2:7">
      <c r="B6" s="154">
        <v>3</v>
      </c>
      <c r="C6" s="155" t="s">
        <v>169</v>
      </c>
      <c r="D6" s="156">
        <v>36200</v>
      </c>
      <c r="E6" s="157">
        <v>1210</v>
      </c>
      <c r="F6" s="158">
        <v>8</v>
      </c>
      <c r="G6" s="159">
        <v>40</v>
      </c>
    </row>
    <row r="7" spans="2:7">
      <c r="B7" s="154">
        <v>4</v>
      </c>
      <c r="C7" s="155" t="s">
        <v>170</v>
      </c>
      <c r="D7" s="156">
        <v>54800</v>
      </c>
      <c r="E7" s="157">
        <v>1210</v>
      </c>
      <c r="F7" s="158">
        <v>18</v>
      </c>
      <c r="G7" s="159">
        <v>40</v>
      </c>
    </row>
    <row r="8" spans="2:7">
      <c r="B8" s="154">
        <v>5</v>
      </c>
      <c r="C8" s="155" t="s">
        <v>171</v>
      </c>
      <c r="D8" s="156">
        <v>14200</v>
      </c>
      <c r="E8" s="157">
        <v>1220</v>
      </c>
      <c r="F8" s="158">
        <v>3</v>
      </c>
      <c r="G8" s="159">
        <v>10</v>
      </c>
    </row>
    <row r="9" spans="2:7">
      <c r="B9" s="154">
        <v>6</v>
      </c>
      <c r="C9" s="155" t="s">
        <v>172</v>
      </c>
      <c r="D9" s="156">
        <v>33250</v>
      </c>
      <c r="E9" s="157">
        <v>1000</v>
      </c>
      <c r="F9" s="158">
        <v>10</v>
      </c>
      <c r="G9" s="159">
        <v>47</v>
      </c>
    </row>
    <row r="10" spans="2:7">
      <c r="B10" s="154">
        <v>7</v>
      </c>
      <c r="C10" s="155" t="s">
        <v>173</v>
      </c>
      <c r="D10" s="156">
        <v>15100</v>
      </c>
      <c r="E10" s="157">
        <v>1220</v>
      </c>
      <c r="F10" s="158">
        <v>3</v>
      </c>
      <c r="G10" s="159">
        <v>10</v>
      </c>
    </row>
    <row r="11" spans="2:7">
      <c r="B11" s="154">
        <v>8</v>
      </c>
      <c r="C11" s="155" t="s">
        <v>174</v>
      </c>
      <c r="D11" s="156">
        <v>12800</v>
      </c>
      <c r="E11" s="157">
        <v>618</v>
      </c>
      <c r="F11" s="158">
        <v>0</v>
      </c>
      <c r="G11" s="159">
        <v>32</v>
      </c>
    </row>
    <row r="12" spans="2:7">
      <c r="B12" s="154">
        <v>9</v>
      </c>
      <c r="C12" s="155" t="s">
        <v>175</v>
      </c>
      <c r="D12" s="156">
        <v>11550</v>
      </c>
      <c r="E12" s="157">
        <v>1010</v>
      </c>
      <c r="F12" s="158">
        <v>5</v>
      </c>
      <c r="G12" s="159">
        <v>24</v>
      </c>
    </row>
    <row r="13" spans="2:7">
      <c r="B13" s="154">
        <v>10</v>
      </c>
      <c r="C13" s="155" t="s">
        <v>176</v>
      </c>
      <c r="D13" s="156">
        <v>12480</v>
      </c>
      <c r="E13" s="157">
        <v>1000</v>
      </c>
      <c r="F13" s="158">
        <v>3</v>
      </c>
      <c r="G13" s="159">
        <v>19</v>
      </c>
    </row>
    <row r="14" spans="2:7">
      <c r="B14" s="154">
        <v>11</v>
      </c>
      <c r="C14" s="155" t="s">
        <v>177</v>
      </c>
      <c r="D14" s="156">
        <v>25820</v>
      </c>
      <c r="E14" s="157">
        <v>1210</v>
      </c>
      <c r="F14" s="158">
        <v>10</v>
      </c>
      <c r="G14" s="159">
        <v>35.700000000000003</v>
      </c>
    </row>
    <row r="15" spans="2:7">
      <c r="B15" s="154">
        <v>12</v>
      </c>
      <c r="C15" s="155" t="s">
        <v>178</v>
      </c>
      <c r="D15" s="156">
        <v>32560</v>
      </c>
      <c r="E15" s="157">
        <v>1210</v>
      </c>
      <c r="F15" s="158">
        <v>5</v>
      </c>
      <c r="G15" s="159">
        <v>33.700000000000003</v>
      </c>
    </row>
    <row r="16" spans="2:7">
      <c r="B16" s="154">
        <v>13</v>
      </c>
      <c r="C16" s="155" t="s">
        <v>179</v>
      </c>
      <c r="D16" s="156">
        <v>22740</v>
      </c>
      <c r="E16" s="157">
        <v>1000</v>
      </c>
      <c r="F16" s="158">
        <v>5</v>
      </c>
      <c r="G16" s="159">
        <v>31</v>
      </c>
    </row>
    <row r="17" spans="2:7" ht="13.8" thickBot="1">
      <c r="B17" s="160">
        <v>14</v>
      </c>
      <c r="C17" s="161" t="s">
        <v>180</v>
      </c>
      <c r="D17" s="162">
        <v>7980</v>
      </c>
      <c r="E17" s="163">
        <v>824</v>
      </c>
      <c r="F17" s="164">
        <v>3</v>
      </c>
      <c r="G17" s="165">
        <v>16</v>
      </c>
    </row>
  </sheetData>
  <mergeCells count="2">
    <mergeCell ref="B2:B3"/>
    <mergeCell ref="C2:C3"/>
  </mergeCells>
  <phoneticPr fontId="2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B1:S8"/>
  <sheetViews>
    <sheetView workbookViewId="0"/>
  </sheetViews>
  <sheetFormatPr defaultRowHeight="13.2"/>
  <sheetData>
    <row r="1" spans="2:19" ht="13.8" thickBot="1"/>
    <row r="2" spans="2:19">
      <c r="B2" s="166"/>
      <c r="C2" s="52" t="s">
        <v>181</v>
      </c>
      <c r="D2" s="52" t="s">
        <v>182</v>
      </c>
      <c r="E2" s="52" t="s">
        <v>183</v>
      </c>
      <c r="G2" s="166"/>
      <c r="H2" s="52" t="s">
        <v>182</v>
      </c>
      <c r="I2" s="52" t="s">
        <v>183</v>
      </c>
      <c r="J2" s="52" t="s">
        <v>185</v>
      </c>
      <c r="L2" s="612" t="s">
        <v>186</v>
      </c>
      <c r="M2" s="613"/>
      <c r="N2" s="613" t="s">
        <v>187</v>
      </c>
      <c r="O2" s="613"/>
      <c r="P2" s="613"/>
      <c r="Q2" s="613"/>
      <c r="R2" s="613"/>
      <c r="S2" s="616"/>
    </row>
    <row r="3" spans="2:19" ht="13.8" thickBot="1">
      <c r="B3" s="167" t="s">
        <v>184</v>
      </c>
      <c r="C3" s="51">
        <v>800</v>
      </c>
      <c r="D3" s="51">
        <v>780</v>
      </c>
      <c r="E3" s="51">
        <v>810</v>
      </c>
      <c r="G3" s="167" t="s">
        <v>184</v>
      </c>
      <c r="H3" s="51">
        <v>780</v>
      </c>
      <c r="I3" s="51">
        <v>810</v>
      </c>
      <c r="J3" s="51">
        <v>850</v>
      </c>
      <c r="L3" s="614"/>
      <c r="M3" s="615"/>
      <c r="N3" s="168" t="s">
        <v>188</v>
      </c>
      <c r="O3" s="169">
        <v>0.1</v>
      </c>
      <c r="P3" s="168" t="s">
        <v>188</v>
      </c>
      <c r="Q3" s="169">
        <v>0.5</v>
      </c>
      <c r="R3" s="168" t="s">
        <v>188</v>
      </c>
      <c r="S3" s="170">
        <v>0.9</v>
      </c>
    </row>
    <row r="4" spans="2:19" ht="13.8" thickTop="1">
      <c r="L4" s="171" t="s">
        <v>189</v>
      </c>
      <c r="M4" s="172">
        <v>800</v>
      </c>
      <c r="N4" s="617">
        <v>771</v>
      </c>
      <c r="O4" s="617"/>
      <c r="P4" s="617">
        <v>780</v>
      </c>
      <c r="Q4" s="617"/>
      <c r="R4" s="617">
        <v>800</v>
      </c>
      <c r="S4" s="618"/>
    </row>
    <row r="5" spans="2:19">
      <c r="L5" s="173" t="s">
        <v>190</v>
      </c>
      <c r="M5" s="65">
        <v>780</v>
      </c>
      <c r="N5" s="610">
        <v>774</v>
      </c>
      <c r="O5" s="610"/>
      <c r="P5" s="610">
        <v>790</v>
      </c>
      <c r="Q5" s="610"/>
      <c r="R5" s="610">
        <v>800</v>
      </c>
      <c r="S5" s="611"/>
    </row>
    <row r="6" spans="2:19">
      <c r="L6" s="173" t="s">
        <v>183</v>
      </c>
      <c r="M6" s="65">
        <v>810</v>
      </c>
      <c r="N6" s="610">
        <v>775</v>
      </c>
      <c r="O6" s="610"/>
      <c r="P6" s="610">
        <v>785</v>
      </c>
      <c r="Q6" s="610"/>
      <c r="R6" s="610">
        <v>782</v>
      </c>
      <c r="S6" s="611"/>
    </row>
    <row r="7" spans="2:19">
      <c r="L7" s="173" t="s">
        <v>185</v>
      </c>
      <c r="M7" s="65">
        <v>850</v>
      </c>
      <c r="N7" s="610">
        <v>779</v>
      </c>
      <c r="O7" s="610"/>
      <c r="P7" s="610">
        <v>798</v>
      </c>
      <c r="Q7" s="610"/>
      <c r="R7" s="610">
        <v>807</v>
      </c>
      <c r="S7" s="611"/>
    </row>
    <row r="8" spans="2:19" ht="13.8" thickBot="1">
      <c r="L8" s="174" t="s">
        <v>191</v>
      </c>
      <c r="M8" s="175"/>
      <c r="N8" s="608"/>
      <c r="O8" s="608"/>
      <c r="P8" s="608"/>
      <c r="Q8" s="608"/>
      <c r="R8" s="608"/>
      <c r="S8" s="609"/>
    </row>
  </sheetData>
  <mergeCells count="17">
    <mergeCell ref="N5:O5"/>
    <mergeCell ref="P5:Q5"/>
    <mergeCell ref="R5:S5"/>
    <mergeCell ref="L2:M3"/>
    <mergeCell ref="N2:S2"/>
    <mergeCell ref="N4:O4"/>
    <mergeCell ref="P4:Q4"/>
    <mergeCell ref="R4:S4"/>
    <mergeCell ref="N8:O8"/>
    <mergeCell ref="P8:Q8"/>
    <mergeCell ref="R8:S8"/>
    <mergeCell ref="N6:O6"/>
    <mergeCell ref="P6:Q6"/>
    <mergeCell ref="R6:S6"/>
    <mergeCell ref="N7:O7"/>
    <mergeCell ref="P7:Q7"/>
    <mergeCell ref="R7:S7"/>
  </mergeCells>
  <phoneticPr fontId="2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B1:F27"/>
  <sheetViews>
    <sheetView workbookViewId="0"/>
  </sheetViews>
  <sheetFormatPr defaultRowHeight="13.2"/>
  <sheetData>
    <row r="1" spans="2:6" ht="13.8" thickBot="1"/>
    <row r="2" spans="2:6">
      <c r="B2" s="612" t="s">
        <v>192</v>
      </c>
      <c r="C2" s="176" t="s">
        <v>193</v>
      </c>
      <c r="D2" s="176" t="s">
        <v>194</v>
      </c>
      <c r="E2" s="176" t="s">
        <v>195</v>
      </c>
      <c r="F2" s="177" t="s">
        <v>196</v>
      </c>
    </row>
    <row r="3" spans="2:6" ht="13.8" thickBot="1">
      <c r="B3" s="614"/>
      <c r="C3" s="178" t="s">
        <v>197</v>
      </c>
      <c r="D3" s="178" t="s">
        <v>198</v>
      </c>
      <c r="E3" s="178" t="s">
        <v>199</v>
      </c>
      <c r="F3" s="179" t="s">
        <v>200</v>
      </c>
    </row>
    <row r="4" spans="2:6" ht="13.8" thickTop="1">
      <c r="B4" s="180">
        <v>1</v>
      </c>
      <c r="C4" s="181">
        <v>998</v>
      </c>
      <c r="D4" s="181">
        <v>1082</v>
      </c>
      <c r="E4" s="182">
        <v>0.96</v>
      </c>
      <c r="F4" s="183">
        <v>0.79478659603944213</v>
      </c>
    </row>
    <row r="5" spans="2:6">
      <c r="B5" s="184">
        <v>2</v>
      </c>
      <c r="C5" s="185">
        <v>1280</v>
      </c>
      <c r="D5" s="185">
        <v>1435</v>
      </c>
      <c r="E5" s="186">
        <v>1.21</v>
      </c>
      <c r="F5" s="187">
        <v>0.77271709388589405</v>
      </c>
    </row>
    <row r="6" spans="2:6">
      <c r="B6" s="184">
        <v>3</v>
      </c>
      <c r="C6" s="185">
        <v>1539</v>
      </c>
      <c r="D6" s="185">
        <v>1385</v>
      </c>
      <c r="E6" s="186">
        <v>1.27</v>
      </c>
      <c r="F6" s="187">
        <v>0.75904905178060478</v>
      </c>
    </row>
    <row r="7" spans="2:6">
      <c r="B7" s="184">
        <v>4</v>
      </c>
      <c r="C7" s="185">
        <v>1382</v>
      </c>
      <c r="D7" s="185">
        <v>1253</v>
      </c>
      <c r="E7" s="186">
        <v>1.1599999999999999</v>
      </c>
      <c r="F7" s="187">
        <v>0.81947354226038538</v>
      </c>
    </row>
    <row r="8" spans="2:6">
      <c r="B8" s="184">
        <v>5</v>
      </c>
      <c r="C8" s="185">
        <v>1063</v>
      </c>
      <c r="D8" s="185">
        <v>1176</v>
      </c>
      <c r="E8" s="186">
        <v>1.01</v>
      </c>
      <c r="F8" s="187">
        <v>0.86713719023297409</v>
      </c>
    </row>
    <row r="9" spans="2:6">
      <c r="B9" s="184">
        <v>6</v>
      </c>
      <c r="C9" s="185">
        <v>1308</v>
      </c>
      <c r="D9" s="185">
        <v>1384</v>
      </c>
      <c r="E9" s="186">
        <v>1.18</v>
      </c>
      <c r="F9" s="187">
        <v>0.89898592753883289</v>
      </c>
    </row>
    <row r="10" spans="2:6">
      <c r="B10" s="184">
        <v>7</v>
      </c>
      <c r="C10" s="185">
        <v>1286</v>
      </c>
      <c r="D10" s="185">
        <v>1442</v>
      </c>
      <c r="E10" s="186">
        <v>1.22</v>
      </c>
      <c r="F10" s="187">
        <v>0.91199563901878988</v>
      </c>
    </row>
    <row r="11" spans="2:6">
      <c r="B11" s="184">
        <v>8</v>
      </c>
      <c r="C11" s="185">
        <v>1278</v>
      </c>
      <c r="D11" s="185">
        <v>1332</v>
      </c>
      <c r="E11" s="186">
        <v>1.1299999999999999</v>
      </c>
      <c r="F11" s="187">
        <v>0.95675788395371586</v>
      </c>
    </row>
    <row r="12" spans="2:6">
      <c r="B12" s="184">
        <v>9</v>
      </c>
      <c r="C12" s="185">
        <v>1518</v>
      </c>
      <c r="D12" s="185">
        <v>1573</v>
      </c>
      <c r="E12" s="186">
        <v>1.36</v>
      </c>
      <c r="F12" s="187">
        <v>0.92445092963329512</v>
      </c>
    </row>
    <row r="13" spans="2:6">
      <c r="B13" s="184">
        <v>10</v>
      </c>
      <c r="C13" s="185">
        <v>1612</v>
      </c>
      <c r="D13" s="185">
        <v>1652</v>
      </c>
      <c r="E13" s="186">
        <v>1.46</v>
      </c>
      <c r="F13" s="187">
        <v>0.91781681155275219</v>
      </c>
    </row>
    <row r="14" spans="2:6">
      <c r="B14" s="184">
        <v>11</v>
      </c>
      <c r="C14" s="185">
        <v>1559</v>
      </c>
      <c r="D14" s="185">
        <v>1482</v>
      </c>
      <c r="E14" s="186">
        <v>1.33</v>
      </c>
      <c r="F14" s="187">
        <v>0.98194258203432228</v>
      </c>
    </row>
    <row r="15" spans="2:6">
      <c r="B15" s="184">
        <v>12</v>
      </c>
      <c r="C15" s="185">
        <v>1160</v>
      </c>
      <c r="D15" s="185">
        <v>1039</v>
      </c>
      <c r="E15" s="186">
        <v>1</v>
      </c>
      <c r="F15" s="187">
        <v>1</v>
      </c>
    </row>
    <row r="16" spans="2:6">
      <c r="B16" s="184">
        <v>13</v>
      </c>
      <c r="C16" s="185">
        <v>1082</v>
      </c>
      <c r="D16" s="188">
        <v>1172</v>
      </c>
      <c r="E16" s="186">
        <v>0.96</v>
      </c>
      <c r="F16" s="189">
        <v>1.0719919712965771</v>
      </c>
    </row>
    <row r="17" spans="2:6">
      <c r="B17" s="184">
        <v>14</v>
      </c>
      <c r="C17" s="185">
        <v>1435</v>
      </c>
      <c r="D17" s="188">
        <v>1381</v>
      </c>
      <c r="E17" s="186">
        <v>1.21</v>
      </c>
      <c r="F17" s="189">
        <v>1.1062719071713314</v>
      </c>
    </row>
    <row r="18" spans="2:6">
      <c r="B18" s="184">
        <v>15</v>
      </c>
      <c r="C18" s="185">
        <v>1385</v>
      </c>
      <c r="D18" s="188">
        <v>1434</v>
      </c>
      <c r="E18" s="186">
        <v>1.27</v>
      </c>
      <c r="F18" s="189">
        <v>1.1383498388285251</v>
      </c>
    </row>
    <row r="19" spans="2:6">
      <c r="B19" s="184">
        <v>16</v>
      </c>
      <c r="C19" s="185">
        <v>1253</v>
      </c>
      <c r="D19" s="188">
        <v>1384</v>
      </c>
      <c r="E19" s="186">
        <v>1.1599999999999999</v>
      </c>
      <c r="F19" s="189">
        <v>1.1345825052818643</v>
      </c>
    </row>
    <row r="20" spans="2:6">
      <c r="B20" s="184">
        <v>17</v>
      </c>
      <c r="C20" s="185">
        <v>1176</v>
      </c>
      <c r="D20" s="188">
        <v>1305</v>
      </c>
      <c r="E20" s="186">
        <v>1.01</v>
      </c>
      <c r="F20" s="189">
        <v>1.1639071022840763</v>
      </c>
    </row>
    <row r="21" spans="2:6">
      <c r="B21" s="184">
        <v>18</v>
      </c>
      <c r="C21" s="185">
        <v>1384</v>
      </c>
      <c r="D21" s="188">
        <v>1288</v>
      </c>
      <c r="E21" s="186">
        <v>1.18</v>
      </c>
      <c r="F21" s="189">
        <v>1.232499534134835</v>
      </c>
    </row>
    <row r="22" spans="2:6">
      <c r="B22" s="184">
        <v>19</v>
      </c>
      <c r="C22" s="185">
        <v>1442</v>
      </c>
      <c r="D22" s="188">
        <v>1476</v>
      </c>
      <c r="E22" s="186">
        <v>1.22</v>
      </c>
      <c r="F22" s="189">
        <v>1.2560865130511687</v>
      </c>
    </row>
    <row r="23" spans="2:6">
      <c r="B23" s="184">
        <v>20</v>
      </c>
      <c r="C23" s="185">
        <v>1332</v>
      </c>
      <c r="D23" s="188">
        <v>1236</v>
      </c>
      <c r="E23" s="186">
        <v>1.1299999999999999</v>
      </c>
      <c r="F23" s="189">
        <v>1.2651447122616319</v>
      </c>
    </row>
    <row r="24" spans="2:6">
      <c r="B24" s="184">
        <v>21</v>
      </c>
      <c r="C24" s="185">
        <v>1573</v>
      </c>
      <c r="D24" s="188">
        <v>1476</v>
      </c>
      <c r="E24" s="186">
        <v>1.36</v>
      </c>
      <c r="F24" s="189">
        <v>1.2977074723221647</v>
      </c>
    </row>
    <row r="25" spans="2:6">
      <c r="B25" s="184">
        <v>22</v>
      </c>
      <c r="C25" s="185">
        <v>1652</v>
      </c>
      <c r="D25" s="188">
        <v>1708</v>
      </c>
      <c r="E25" s="186">
        <v>1.46</v>
      </c>
      <c r="F25" s="189">
        <v>1.3382157463201234</v>
      </c>
    </row>
    <row r="26" spans="2:6">
      <c r="B26" s="184">
        <v>23</v>
      </c>
      <c r="C26" s="185">
        <v>1482</v>
      </c>
      <c r="D26" s="188">
        <v>1530</v>
      </c>
      <c r="E26" s="186">
        <v>1.33</v>
      </c>
      <c r="F26" s="190">
        <v>1.4010260703633135</v>
      </c>
    </row>
    <row r="27" spans="2:6" ht="13.8" thickBot="1">
      <c r="B27" s="191">
        <v>24</v>
      </c>
      <c r="C27" s="192">
        <v>1039</v>
      </c>
      <c r="D27" s="193">
        <v>1144</v>
      </c>
      <c r="E27" s="194">
        <v>1</v>
      </c>
      <c r="F27" s="195">
        <v>1.3309287562333365</v>
      </c>
    </row>
  </sheetData>
  <mergeCells count="1">
    <mergeCell ref="B2:B3"/>
  </mergeCells>
  <phoneticPr fontId="2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8"/>
  <sheetViews>
    <sheetView workbookViewId="0"/>
  </sheetViews>
  <sheetFormatPr defaultRowHeight="13.2"/>
  <cols>
    <col min="1" max="1" width="12.44140625" bestFit="1" customWidth="1"/>
  </cols>
  <sheetData>
    <row r="1" spans="1:14" ht="13.8" thickBot="1">
      <c r="A1" s="428"/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9" t="s">
        <v>281</v>
      </c>
      <c r="N1" s="430" t="s">
        <v>363</v>
      </c>
    </row>
    <row r="2" spans="1:14">
      <c r="A2" s="446" t="s">
        <v>399</v>
      </c>
      <c r="B2" s="447">
        <v>10</v>
      </c>
      <c r="C2" s="447">
        <v>11</v>
      </c>
      <c r="D2" s="447">
        <v>32</v>
      </c>
      <c r="E2" s="447">
        <v>111</v>
      </c>
      <c r="F2" s="447">
        <v>140</v>
      </c>
      <c r="G2" s="447">
        <v>232</v>
      </c>
      <c r="H2" s="447">
        <v>172</v>
      </c>
      <c r="I2" s="447">
        <v>105</v>
      </c>
      <c r="J2" s="447">
        <v>31</v>
      </c>
      <c r="K2" s="447">
        <v>13</v>
      </c>
      <c r="L2" s="448">
        <v>13</v>
      </c>
      <c r="M2" s="452">
        <f>SUM(B2:L2)</f>
        <v>870</v>
      </c>
      <c r="N2" s="619"/>
    </row>
    <row r="3" spans="1:14" ht="13.8" thickBot="1">
      <c r="A3" s="449" t="s">
        <v>400</v>
      </c>
      <c r="B3" s="450">
        <v>21</v>
      </c>
      <c r="C3" s="450">
        <v>21.5</v>
      </c>
      <c r="D3" s="450">
        <v>22</v>
      </c>
      <c r="E3" s="450">
        <v>22.5</v>
      </c>
      <c r="F3" s="450">
        <v>23</v>
      </c>
      <c r="G3" s="450">
        <v>23.5</v>
      </c>
      <c r="H3" s="450">
        <v>24</v>
      </c>
      <c r="I3" s="450">
        <v>24.5</v>
      </c>
      <c r="J3" s="450">
        <v>25</v>
      </c>
      <c r="K3" s="450">
        <v>25.5</v>
      </c>
      <c r="L3" s="451">
        <v>26</v>
      </c>
      <c r="M3" s="453">
        <f>SUM(B3:L3)</f>
        <v>258.5</v>
      </c>
      <c r="N3" s="620"/>
    </row>
    <row r="4" spans="1:14" ht="13.8" thickBot="1">
      <c r="A4" s="431" t="s">
        <v>278</v>
      </c>
      <c r="B4" s="432">
        <f>B2*B3</f>
        <v>210</v>
      </c>
      <c r="C4" s="432">
        <f t="shared" ref="C4:L4" si="0">C2*C3</f>
        <v>236.5</v>
      </c>
      <c r="D4" s="432">
        <f t="shared" si="0"/>
        <v>704</v>
      </c>
      <c r="E4" s="432">
        <f t="shared" si="0"/>
        <v>2497.5</v>
      </c>
      <c r="F4" s="432">
        <f t="shared" si="0"/>
        <v>3220</v>
      </c>
      <c r="G4" s="432">
        <f t="shared" si="0"/>
        <v>5452</v>
      </c>
      <c r="H4" s="432">
        <f t="shared" si="0"/>
        <v>4128</v>
      </c>
      <c r="I4" s="432">
        <f t="shared" si="0"/>
        <v>2572.5</v>
      </c>
      <c r="J4" s="432">
        <f t="shared" si="0"/>
        <v>775</v>
      </c>
      <c r="K4" s="432">
        <f t="shared" si="0"/>
        <v>331.5</v>
      </c>
      <c r="L4" s="433">
        <f t="shared" si="0"/>
        <v>338</v>
      </c>
      <c r="M4" s="454">
        <f>SUM(B4:L4)</f>
        <v>20465</v>
      </c>
      <c r="N4" s="434">
        <f>ROUND(M4/M2,1)</f>
        <v>23.5</v>
      </c>
    </row>
    <row r="5" spans="1:14">
      <c r="A5" s="435" t="s">
        <v>402</v>
      </c>
      <c r="B5" s="436">
        <f>B3-$N$4</f>
        <v>-2.5</v>
      </c>
      <c r="C5" s="436">
        <f t="shared" ref="C5:L5" si="1">C3-$N$4</f>
        <v>-2</v>
      </c>
      <c r="D5" s="436">
        <f t="shared" si="1"/>
        <v>-1.5</v>
      </c>
      <c r="E5" s="436">
        <f t="shared" si="1"/>
        <v>-1</v>
      </c>
      <c r="F5" s="436">
        <f t="shared" si="1"/>
        <v>-0.5</v>
      </c>
      <c r="G5" s="436">
        <f t="shared" si="1"/>
        <v>0</v>
      </c>
      <c r="H5" s="436">
        <f t="shared" si="1"/>
        <v>0.5</v>
      </c>
      <c r="I5" s="436">
        <f t="shared" si="1"/>
        <v>1</v>
      </c>
      <c r="J5" s="436">
        <f t="shared" si="1"/>
        <v>1.5</v>
      </c>
      <c r="K5" s="436">
        <f t="shared" si="1"/>
        <v>2</v>
      </c>
      <c r="L5" s="437">
        <f t="shared" si="1"/>
        <v>2.5</v>
      </c>
      <c r="M5" s="455">
        <f>SUM(B5:L5)</f>
        <v>0</v>
      </c>
      <c r="N5" s="619"/>
    </row>
    <row r="6" spans="1:14" ht="13.8" thickBot="1">
      <c r="A6" s="435" t="s">
        <v>403</v>
      </c>
      <c r="B6" s="438">
        <f>B5^2</f>
        <v>6.25</v>
      </c>
      <c r="C6" s="438">
        <f t="shared" ref="C6:L6" si="2">C5^2</f>
        <v>4</v>
      </c>
      <c r="D6" s="438">
        <f t="shared" si="2"/>
        <v>2.25</v>
      </c>
      <c r="E6" s="438">
        <f t="shared" si="2"/>
        <v>1</v>
      </c>
      <c r="F6" s="438">
        <f t="shared" si="2"/>
        <v>0.25</v>
      </c>
      <c r="G6" s="438">
        <f t="shared" si="2"/>
        <v>0</v>
      </c>
      <c r="H6" s="438">
        <f t="shared" si="2"/>
        <v>0.25</v>
      </c>
      <c r="I6" s="438">
        <f t="shared" si="2"/>
        <v>1</v>
      </c>
      <c r="J6" s="438">
        <f t="shared" si="2"/>
        <v>2.25</v>
      </c>
      <c r="K6" s="438">
        <f t="shared" si="2"/>
        <v>4</v>
      </c>
      <c r="L6" s="439">
        <f t="shared" si="2"/>
        <v>6.25</v>
      </c>
      <c r="M6" s="455">
        <f t="shared" ref="M6:M7" si="3">SUM(B6:L6)</f>
        <v>27.5</v>
      </c>
      <c r="N6" s="620"/>
    </row>
    <row r="7" spans="1:14" ht="13.8" thickBot="1">
      <c r="A7" s="440" t="s">
        <v>401</v>
      </c>
      <c r="B7" s="441">
        <f>B6*B2</f>
        <v>62.5</v>
      </c>
      <c r="C7" s="441">
        <f t="shared" ref="C7:L7" si="4">C6*C2</f>
        <v>44</v>
      </c>
      <c r="D7" s="441">
        <f t="shared" si="4"/>
        <v>72</v>
      </c>
      <c r="E7" s="441">
        <f t="shared" si="4"/>
        <v>111</v>
      </c>
      <c r="F7" s="441">
        <f t="shared" si="4"/>
        <v>35</v>
      </c>
      <c r="G7" s="441">
        <f t="shared" si="4"/>
        <v>0</v>
      </c>
      <c r="H7" s="441">
        <f t="shared" si="4"/>
        <v>43</v>
      </c>
      <c r="I7" s="441">
        <f t="shared" si="4"/>
        <v>105</v>
      </c>
      <c r="J7" s="441">
        <f t="shared" si="4"/>
        <v>69.75</v>
      </c>
      <c r="K7" s="441">
        <f t="shared" si="4"/>
        <v>52</v>
      </c>
      <c r="L7" s="442">
        <f t="shared" si="4"/>
        <v>81.25</v>
      </c>
      <c r="M7" s="453">
        <f t="shared" si="3"/>
        <v>675.5</v>
      </c>
      <c r="N7" s="443">
        <f>M7/(M2-1)</f>
        <v>0.77733026467203681</v>
      </c>
    </row>
    <row r="8" spans="1:14" ht="13.8" thickBot="1">
      <c r="A8" s="428"/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44" t="s">
        <v>404</v>
      </c>
      <c r="N8" s="445">
        <f>ROUND(SQRT(N7),2)</f>
        <v>0.88</v>
      </c>
    </row>
  </sheetData>
  <mergeCells count="2">
    <mergeCell ref="N2:N3"/>
    <mergeCell ref="N5:N6"/>
  </mergeCells>
  <phoneticPr fontId="2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2:O11"/>
  <sheetViews>
    <sheetView workbookViewId="0"/>
  </sheetViews>
  <sheetFormatPr defaultRowHeight="13.2"/>
  <sheetData>
    <row r="2" spans="1:15" ht="13.8" thickBot="1">
      <c r="A2" s="428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5" ht="13.8" thickBot="1">
      <c r="A3" s="428"/>
      <c r="B3" s="458"/>
      <c r="C3" s="459">
        <v>1</v>
      </c>
      <c r="D3" s="459">
        <v>2</v>
      </c>
      <c r="E3" s="459">
        <v>3</v>
      </c>
      <c r="F3" s="459">
        <v>4</v>
      </c>
      <c r="G3" s="459">
        <v>5</v>
      </c>
      <c r="H3" s="459">
        <v>6</v>
      </c>
      <c r="I3" s="459">
        <v>7</v>
      </c>
      <c r="J3" s="459">
        <v>8</v>
      </c>
      <c r="K3" s="459">
        <v>9</v>
      </c>
      <c r="L3" s="459">
        <v>10</v>
      </c>
      <c r="M3" s="460">
        <v>11</v>
      </c>
      <c r="N3" s="461" t="s">
        <v>53</v>
      </c>
      <c r="O3" s="462" t="s">
        <v>209</v>
      </c>
    </row>
    <row r="4" spans="1:15" ht="13.8" thickTop="1">
      <c r="A4" s="17" t="s">
        <v>365</v>
      </c>
      <c r="B4" s="463" t="s">
        <v>1</v>
      </c>
      <c r="C4" s="236">
        <v>64</v>
      </c>
      <c r="D4" s="236">
        <v>71</v>
      </c>
      <c r="E4" s="236">
        <v>80</v>
      </c>
      <c r="F4" s="236">
        <v>80</v>
      </c>
      <c r="G4" s="236">
        <v>90</v>
      </c>
      <c r="H4" s="236">
        <v>78</v>
      </c>
      <c r="I4" s="236">
        <v>72</v>
      </c>
      <c r="J4" s="236">
        <v>72</v>
      </c>
      <c r="K4" s="236">
        <v>62</v>
      </c>
      <c r="L4" s="236">
        <v>76</v>
      </c>
      <c r="M4" s="464">
        <v>64</v>
      </c>
      <c r="N4" s="465">
        <f>ROUND(AVERAGE(C4:M4),1)</f>
        <v>73.5</v>
      </c>
      <c r="O4" s="466">
        <f>ROUND(STDEV(C4:M4),1)</f>
        <v>8.4</v>
      </c>
    </row>
    <row r="5" spans="1:15" ht="13.8" thickBot="1">
      <c r="A5" s="17" t="s">
        <v>367</v>
      </c>
      <c r="B5" s="467" t="s">
        <v>3</v>
      </c>
      <c r="C5" s="5">
        <v>74</v>
      </c>
      <c r="D5" s="5">
        <v>71</v>
      </c>
      <c r="E5" s="5">
        <v>80</v>
      </c>
      <c r="F5" s="5">
        <v>76</v>
      </c>
      <c r="G5" s="5">
        <v>82</v>
      </c>
      <c r="H5" s="5">
        <v>80</v>
      </c>
      <c r="I5" s="5">
        <v>72</v>
      </c>
      <c r="J5" s="5">
        <v>76</v>
      </c>
      <c r="K5" s="5">
        <v>66</v>
      </c>
      <c r="L5" s="5">
        <v>78</v>
      </c>
      <c r="M5" s="32">
        <v>70</v>
      </c>
      <c r="N5" s="468">
        <f>ROUND(AVERAGE(C5:M5),1)</f>
        <v>75</v>
      </c>
      <c r="O5" s="469">
        <f>ROUND(STDEV(C5:M5),1)</f>
        <v>4.9000000000000004</v>
      </c>
    </row>
    <row r="6" spans="1:15" ht="13.8" thickBot="1">
      <c r="A6" s="17"/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</row>
    <row r="7" spans="1:15">
      <c r="A7" s="17" t="s">
        <v>369</v>
      </c>
      <c r="B7" s="446" t="s">
        <v>405</v>
      </c>
      <c r="C7" s="309">
        <f>C4-$N$4</f>
        <v>-9.5</v>
      </c>
      <c r="D7" s="309">
        <f t="shared" ref="D7:M7" si="0">D4-$N$4</f>
        <v>-2.5</v>
      </c>
      <c r="E7" s="309">
        <f t="shared" si="0"/>
        <v>6.5</v>
      </c>
      <c r="F7" s="309">
        <f t="shared" si="0"/>
        <v>6.5</v>
      </c>
      <c r="G7" s="309">
        <f t="shared" si="0"/>
        <v>16.5</v>
      </c>
      <c r="H7" s="309">
        <f t="shared" si="0"/>
        <v>4.5</v>
      </c>
      <c r="I7" s="309">
        <f t="shared" si="0"/>
        <v>-1.5</v>
      </c>
      <c r="J7" s="309">
        <f t="shared" si="0"/>
        <v>-1.5</v>
      </c>
      <c r="K7" s="309">
        <f t="shared" si="0"/>
        <v>-11.5</v>
      </c>
      <c r="L7" s="309">
        <f t="shared" si="0"/>
        <v>2.5</v>
      </c>
      <c r="M7" s="310">
        <f t="shared" si="0"/>
        <v>-9.5</v>
      </c>
      <c r="N7" s="216">
        <f t="shared" ref="N7:N8" si="1">ROUND(AVERAGE(C7:M7),1)</f>
        <v>0</v>
      </c>
      <c r="O7" s="470">
        <f t="shared" ref="O7:O8" si="2">ROUND(STDEV(C7:M7),1)</f>
        <v>8.4</v>
      </c>
    </row>
    <row r="8" spans="1:15" ht="13.8" thickBot="1">
      <c r="A8" s="17" t="s">
        <v>372</v>
      </c>
      <c r="B8" s="449" t="s">
        <v>406</v>
      </c>
      <c r="C8" s="406">
        <f>C5-$N$5</f>
        <v>-1</v>
      </c>
      <c r="D8" s="406">
        <f t="shared" ref="D8:M8" si="3">D5-$N$5</f>
        <v>-4</v>
      </c>
      <c r="E8" s="406">
        <f t="shared" si="3"/>
        <v>5</v>
      </c>
      <c r="F8" s="406">
        <f t="shared" si="3"/>
        <v>1</v>
      </c>
      <c r="G8" s="406">
        <f t="shared" si="3"/>
        <v>7</v>
      </c>
      <c r="H8" s="406">
        <f t="shared" si="3"/>
        <v>5</v>
      </c>
      <c r="I8" s="406">
        <f t="shared" si="3"/>
        <v>-3</v>
      </c>
      <c r="J8" s="406">
        <f t="shared" si="3"/>
        <v>1</v>
      </c>
      <c r="K8" s="406">
        <f t="shared" si="3"/>
        <v>-9</v>
      </c>
      <c r="L8" s="406">
        <f t="shared" si="3"/>
        <v>3</v>
      </c>
      <c r="M8" s="471">
        <f t="shared" si="3"/>
        <v>-5</v>
      </c>
      <c r="N8" s="472">
        <f t="shared" si="1"/>
        <v>0</v>
      </c>
      <c r="O8" s="473">
        <f t="shared" si="2"/>
        <v>4.9000000000000004</v>
      </c>
    </row>
    <row r="9" spans="1:15" ht="13.8" thickBot="1">
      <c r="A9" s="17"/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</row>
    <row r="10" spans="1:15">
      <c r="A10" s="17" t="s">
        <v>374</v>
      </c>
      <c r="B10" s="446" t="s">
        <v>407</v>
      </c>
      <c r="C10" s="309">
        <f>ROUND(C7/$O$4,1)</f>
        <v>-1.1000000000000001</v>
      </c>
      <c r="D10" s="309">
        <f t="shared" ref="D10:M10" si="4">ROUND(D7/$O$4,1)</f>
        <v>-0.3</v>
      </c>
      <c r="E10" s="309">
        <f t="shared" si="4"/>
        <v>0.8</v>
      </c>
      <c r="F10" s="309">
        <f t="shared" si="4"/>
        <v>0.8</v>
      </c>
      <c r="G10" s="309">
        <f t="shared" si="4"/>
        <v>2</v>
      </c>
      <c r="H10" s="309">
        <f t="shared" si="4"/>
        <v>0.5</v>
      </c>
      <c r="I10" s="309">
        <f t="shared" si="4"/>
        <v>-0.2</v>
      </c>
      <c r="J10" s="309">
        <f t="shared" si="4"/>
        <v>-0.2</v>
      </c>
      <c r="K10" s="309">
        <f t="shared" si="4"/>
        <v>-1.4</v>
      </c>
      <c r="L10" s="309">
        <f t="shared" si="4"/>
        <v>0.3</v>
      </c>
      <c r="M10" s="310">
        <f t="shared" si="4"/>
        <v>-1.1000000000000001</v>
      </c>
      <c r="N10" s="216">
        <f t="shared" ref="N10:N11" si="5">ROUND(AVERAGE(C10:M10),1)</f>
        <v>0</v>
      </c>
      <c r="O10" s="470">
        <f t="shared" ref="O10:O11" si="6">ROUND(STDEV(C10:M10),1)</f>
        <v>1</v>
      </c>
    </row>
    <row r="11" spans="1:15" ht="13.8" thickBot="1">
      <c r="A11" s="17" t="s">
        <v>408</v>
      </c>
      <c r="B11" s="449" t="s">
        <v>409</v>
      </c>
      <c r="C11" s="474">
        <f>ROUND(C8/$O$5,1)</f>
        <v>-0.2</v>
      </c>
      <c r="D11" s="474">
        <f t="shared" ref="D11:M11" si="7">ROUND(D8/$O$5,1)</f>
        <v>-0.8</v>
      </c>
      <c r="E11" s="474">
        <f t="shared" si="7"/>
        <v>1</v>
      </c>
      <c r="F11" s="474">
        <f t="shared" si="7"/>
        <v>0.2</v>
      </c>
      <c r="G11" s="474">
        <f t="shared" si="7"/>
        <v>1.4</v>
      </c>
      <c r="H11" s="474">
        <f t="shared" si="7"/>
        <v>1</v>
      </c>
      <c r="I11" s="474">
        <f t="shared" si="7"/>
        <v>-0.6</v>
      </c>
      <c r="J11" s="474">
        <f t="shared" si="7"/>
        <v>0.2</v>
      </c>
      <c r="K11" s="474">
        <f t="shared" si="7"/>
        <v>-1.8</v>
      </c>
      <c r="L11" s="474">
        <f t="shared" si="7"/>
        <v>0.6</v>
      </c>
      <c r="M11" s="405">
        <f t="shared" si="7"/>
        <v>-1</v>
      </c>
      <c r="N11" s="472">
        <f t="shared" si="5"/>
        <v>0</v>
      </c>
      <c r="O11" s="473">
        <f t="shared" si="6"/>
        <v>1</v>
      </c>
    </row>
  </sheetData>
  <phoneticPr fontId="2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O7"/>
  <sheetViews>
    <sheetView workbookViewId="0"/>
  </sheetViews>
  <sheetFormatPr defaultRowHeight="13.2"/>
  <cols>
    <col min="2" max="2" width="13.5546875" bestFit="1" customWidth="1"/>
  </cols>
  <sheetData>
    <row r="1" spans="1:15" ht="13.8" thickBot="1"/>
    <row r="2" spans="1:15" ht="13.8" thickBot="1">
      <c r="A2" s="428"/>
      <c r="B2" s="458"/>
      <c r="C2" s="459">
        <v>1</v>
      </c>
      <c r="D2" s="459">
        <v>2</v>
      </c>
      <c r="E2" s="459">
        <v>3</v>
      </c>
      <c r="F2" s="459">
        <v>4</v>
      </c>
      <c r="G2" s="459">
        <v>5</v>
      </c>
      <c r="H2" s="459">
        <v>6</v>
      </c>
      <c r="I2" s="459">
        <v>7</v>
      </c>
      <c r="J2" s="459">
        <v>8</v>
      </c>
      <c r="K2" s="459">
        <v>9</v>
      </c>
      <c r="L2" s="459">
        <v>10</v>
      </c>
      <c r="M2" s="460">
        <v>11</v>
      </c>
      <c r="N2" s="461" t="s">
        <v>53</v>
      </c>
      <c r="O2" s="462" t="s">
        <v>209</v>
      </c>
    </row>
    <row r="3" spans="1:15" ht="13.8" thickTop="1">
      <c r="A3" s="17" t="s">
        <v>365</v>
      </c>
      <c r="B3" s="463" t="s">
        <v>1</v>
      </c>
      <c r="C3" s="236">
        <v>64</v>
      </c>
      <c r="D3" s="236">
        <v>71</v>
      </c>
      <c r="E3" s="236">
        <v>80</v>
      </c>
      <c r="F3" s="236">
        <v>80</v>
      </c>
      <c r="G3" s="236">
        <v>90</v>
      </c>
      <c r="H3" s="236">
        <v>78</v>
      </c>
      <c r="I3" s="236">
        <v>72</v>
      </c>
      <c r="J3" s="236">
        <v>72</v>
      </c>
      <c r="K3" s="236">
        <v>62</v>
      </c>
      <c r="L3" s="236">
        <v>76</v>
      </c>
      <c r="M3" s="464">
        <v>64</v>
      </c>
      <c r="N3" s="465">
        <f>ROUND(AVERAGE(C3:M3),1)</f>
        <v>73.5</v>
      </c>
      <c r="O3" s="466">
        <f>ROUND(STDEV(C3:M3),1)</f>
        <v>8.4</v>
      </c>
    </row>
    <row r="4" spans="1:15" ht="13.8" thickBot="1">
      <c r="A4" s="17" t="s">
        <v>367</v>
      </c>
      <c r="B4" s="467" t="s">
        <v>3</v>
      </c>
      <c r="C4" s="5">
        <v>74</v>
      </c>
      <c r="D4" s="5">
        <v>71</v>
      </c>
      <c r="E4" s="5">
        <v>80</v>
      </c>
      <c r="F4" s="5">
        <v>76</v>
      </c>
      <c r="G4" s="5">
        <v>82</v>
      </c>
      <c r="H4" s="5">
        <v>80</v>
      </c>
      <c r="I4" s="5">
        <v>72</v>
      </c>
      <c r="J4" s="5">
        <v>76</v>
      </c>
      <c r="K4" s="5">
        <v>66</v>
      </c>
      <c r="L4" s="5">
        <v>78</v>
      </c>
      <c r="M4" s="32">
        <v>70</v>
      </c>
      <c r="N4" s="468">
        <f>ROUND(AVERAGE(C4:M4),1)</f>
        <v>75</v>
      </c>
      <c r="O4" s="469">
        <f>ROUND(STDEV(C4:M4),1)</f>
        <v>4.9000000000000004</v>
      </c>
    </row>
    <row r="5" spans="1:15" ht="13.8" thickBot="1">
      <c r="A5" s="428"/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</row>
    <row r="6" spans="1:15">
      <c r="A6" s="17" t="s">
        <v>369</v>
      </c>
      <c r="B6" s="446" t="s">
        <v>410</v>
      </c>
      <c r="C6" s="309">
        <f>ROUND((C3-$N$3)/$O$3*10+50,0)</f>
        <v>39</v>
      </c>
      <c r="D6" s="309">
        <f t="shared" ref="D6:N6" si="0">ROUND((D3-$N$3)/$O$3*10+50,0)</f>
        <v>47</v>
      </c>
      <c r="E6" s="309">
        <f t="shared" si="0"/>
        <v>58</v>
      </c>
      <c r="F6" s="309">
        <f t="shared" si="0"/>
        <v>58</v>
      </c>
      <c r="G6" s="309">
        <f t="shared" si="0"/>
        <v>70</v>
      </c>
      <c r="H6" s="309">
        <f t="shared" si="0"/>
        <v>55</v>
      </c>
      <c r="I6" s="309">
        <f t="shared" si="0"/>
        <v>48</v>
      </c>
      <c r="J6" s="309">
        <f t="shared" si="0"/>
        <v>48</v>
      </c>
      <c r="K6" s="309">
        <f t="shared" si="0"/>
        <v>36</v>
      </c>
      <c r="L6" s="309">
        <f t="shared" si="0"/>
        <v>53</v>
      </c>
      <c r="M6" s="310">
        <f t="shared" si="0"/>
        <v>39</v>
      </c>
      <c r="N6" s="475">
        <f t="shared" si="0"/>
        <v>50</v>
      </c>
      <c r="O6" s="476">
        <f t="shared" ref="O6:O7" si="1">ROUND(STDEV(C6:M6),1)</f>
        <v>10.1</v>
      </c>
    </row>
    <row r="7" spans="1:15" ht="13.8" thickBot="1">
      <c r="A7" s="17" t="s">
        <v>372</v>
      </c>
      <c r="B7" s="449" t="s">
        <v>411</v>
      </c>
      <c r="C7" s="5">
        <f>ROUND((C4-$N$4)/$O$4*10+50,0)</f>
        <v>48</v>
      </c>
      <c r="D7" s="5">
        <f t="shared" ref="D7:N7" si="2">ROUND((D4-$N$4)/$O$4*10+50,0)</f>
        <v>42</v>
      </c>
      <c r="E7" s="5">
        <f t="shared" si="2"/>
        <v>60</v>
      </c>
      <c r="F7" s="5">
        <f t="shared" si="2"/>
        <v>52</v>
      </c>
      <c r="G7" s="5">
        <f t="shared" si="2"/>
        <v>64</v>
      </c>
      <c r="H7" s="5">
        <f t="shared" si="2"/>
        <v>60</v>
      </c>
      <c r="I7" s="5">
        <f t="shared" si="2"/>
        <v>44</v>
      </c>
      <c r="J7" s="5">
        <f t="shared" si="2"/>
        <v>52</v>
      </c>
      <c r="K7" s="5">
        <f t="shared" si="2"/>
        <v>32</v>
      </c>
      <c r="L7" s="5">
        <f t="shared" si="2"/>
        <v>56</v>
      </c>
      <c r="M7" s="32">
        <f t="shared" si="2"/>
        <v>40</v>
      </c>
      <c r="N7" s="472">
        <f t="shared" si="2"/>
        <v>50</v>
      </c>
      <c r="O7" s="477">
        <f t="shared" si="1"/>
        <v>9.8000000000000007</v>
      </c>
    </row>
  </sheetData>
  <phoneticPr fontId="2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B1:P3"/>
  <sheetViews>
    <sheetView workbookViewId="0"/>
  </sheetViews>
  <sheetFormatPr defaultRowHeight="13.2"/>
  <cols>
    <col min="2" max="2" width="17.109375" bestFit="1" customWidth="1"/>
  </cols>
  <sheetData>
    <row r="1" spans="2:16" ht="13.8" thickBot="1"/>
    <row r="2" spans="2:16">
      <c r="B2" s="621" t="s">
        <v>201</v>
      </c>
      <c r="C2" s="196" t="s">
        <v>202</v>
      </c>
      <c r="D2" s="196" t="s">
        <v>203</v>
      </c>
      <c r="E2" s="196" t="s">
        <v>204</v>
      </c>
      <c r="F2" s="196" t="s">
        <v>181</v>
      </c>
      <c r="G2" s="196" t="s">
        <v>182</v>
      </c>
      <c r="H2" s="196" t="s">
        <v>183</v>
      </c>
      <c r="I2" s="196" t="s">
        <v>185</v>
      </c>
      <c r="J2" s="196" t="s">
        <v>191</v>
      </c>
      <c r="K2" s="196" t="s">
        <v>205</v>
      </c>
      <c r="L2" s="196" t="s">
        <v>206</v>
      </c>
      <c r="M2" s="196" t="s">
        <v>207</v>
      </c>
      <c r="N2" s="197" t="s">
        <v>208</v>
      </c>
      <c r="O2" s="198" t="s">
        <v>53</v>
      </c>
      <c r="P2" s="199" t="s">
        <v>209</v>
      </c>
    </row>
    <row r="3" spans="2:16" ht="13.8" thickBot="1">
      <c r="B3" s="622"/>
      <c r="C3" s="200">
        <v>36</v>
      </c>
      <c r="D3" s="200">
        <v>34</v>
      </c>
      <c r="E3" s="200">
        <v>13</v>
      </c>
      <c r="F3" s="200">
        <v>41</v>
      </c>
      <c r="G3" s="200">
        <v>24</v>
      </c>
      <c r="H3" s="200">
        <v>30</v>
      </c>
      <c r="I3" s="200">
        <v>42</v>
      </c>
      <c r="J3" s="200">
        <v>36</v>
      </c>
      <c r="K3" s="200">
        <v>32</v>
      </c>
      <c r="L3" s="200">
        <v>28</v>
      </c>
      <c r="M3" s="200">
        <v>33</v>
      </c>
      <c r="N3" s="201">
        <v>35</v>
      </c>
      <c r="O3" s="202">
        <f>ROUND(AVERAGE(C3:N3),1)</f>
        <v>32</v>
      </c>
      <c r="P3" s="203">
        <f>ROUND(STDEVP(C3:N3),2)</f>
        <v>7.48</v>
      </c>
    </row>
  </sheetData>
  <mergeCells count="1">
    <mergeCell ref="B2:B3"/>
  </mergeCells>
  <phoneticPr fontId="2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B2:M3"/>
  <sheetViews>
    <sheetView workbookViewId="0"/>
  </sheetViews>
  <sheetFormatPr defaultRowHeight="13.2"/>
  <sheetData>
    <row r="2" spans="2:13">
      <c r="B2" s="423" t="s">
        <v>412</v>
      </c>
      <c r="C2" s="423">
        <v>0</v>
      </c>
      <c r="D2" s="423">
        <v>1</v>
      </c>
      <c r="E2" s="423">
        <v>2</v>
      </c>
      <c r="F2" s="423">
        <v>3</v>
      </c>
      <c r="G2" s="423">
        <v>4</v>
      </c>
      <c r="H2" s="423">
        <v>5</v>
      </c>
      <c r="I2" s="423">
        <v>6</v>
      </c>
      <c r="J2" s="423">
        <v>7</v>
      </c>
      <c r="K2" s="423">
        <v>8</v>
      </c>
      <c r="L2" s="423">
        <v>9</v>
      </c>
      <c r="M2" s="423">
        <v>10</v>
      </c>
    </row>
    <row r="3" spans="2:13">
      <c r="B3" s="51" t="s">
        <v>413</v>
      </c>
      <c r="C3" s="65">
        <f>ROUND(_xlfn.BINOM.DIST(C2,10,0.5,FALSE),4)</f>
        <v>1E-3</v>
      </c>
      <c r="D3" s="65">
        <f t="shared" ref="D3:M3" si="0">ROUND(_xlfn.BINOM.DIST(D2,10,0.5,FALSE),4)</f>
        <v>9.7999999999999997E-3</v>
      </c>
      <c r="E3" s="65">
        <f t="shared" si="0"/>
        <v>4.3900000000000002E-2</v>
      </c>
      <c r="F3" s="65">
        <f t="shared" si="0"/>
        <v>0.1172</v>
      </c>
      <c r="G3" s="65">
        <f t="shared" si="0"/>
        <v>0.2051</v>
      </c>
      <c r="H3" s="65">
        <f t="shared" si="0"/>
        <v>0.24610000000000001</v>
      </c>
      <c r="I3" s="65">
        <f t="shared" si="0"/>
        <v>0.2051</v>
      </c>
      <c r="J3" s="65">
        <f t="shared" si="0"/>
        <v>0.1172</v>
      </c>
      <c r="K3" s="65">
        <f t="shared" si="0"/>
        <v>4.3900000000000002E-2</v>
      </c>
      <c r="L3" s="65">
        <f t="shared" si="0"/>
        <v>9.7999999999999997E-3</v>
      </c>
      <c r="M3" s="65">
        <f t="shared" si="0"/>
        <v>1E-3</v>
      </c>
    </row>
  </sheetData>
  <phoneticPr fontId="2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B1:F32"/>
  <sheetViews>
    <sheetView workbookViewId="0"/>
  </sheetViews>
  <sheetFormatPr defaultRowHeight="13.2"/>
  <sheetData>
    <row r="1" spans="2:6" ht="13.8" thickBot="1"/>
    <row r="2" spans="2:6" ht="13.8" thickBot="1">
      <c r="B2" s="204" t="s">
        <v>210</v>
      </c>
      <c r="C2" s="205" t="s">
        <v>211</v>
      </c>
      <c r="D2" s="205" t="s">
        <v>212</v>
      </c>
      <c r="E2" s="205" t="s">
        <v>213</v>
      </c>
      <c r="F2" s="206" t="s">
        <v>214</v>
      </c>
    </row>
    <row r="3" spans="2:6" ht="13.8" thickTop="1">
      <c r="B3" s="207">
        <v>600</v>
      </c>
      <c r="C3" s="208">
        <v>0</v>
      </c>
      <c r="D3" s="208">
        <v>0.22</v>
      </c>
      <c r="E3" s="208">
        <v>0.67</v>
      </c>
      <c r="F3" s="209">
        <v>0.13</v>
      </c>
    </row>
    <row r="4" spans="2:6">
      <c r="B4" s="210">
        <v>700</v>
      </c>
      <c r="C4" s="211">
        <v>0.53</v>
      </c>
      <c r="D4" s="211">
        <v>0.68</v>
      </c>
      <c r="E4" s="211">
        <v>1.48</v>
      </c>
      <c r="F4" s="212">
        <v>0.65</v>
      </c>
    </row>
    <row r="5" spans="2:6">
      <c r="B5" s="210">
        <v>800</v>
      </c>
      <c r="C5" s="211">
        <v>0.97</v>
      </c>
      <c r="D5" s="211">
        <v>1.1499999999999999</v>
      </c>
      <c r="E5" s="211">
        <v>2.2000000000000002</v>
      </c>
      <c r="F5" s="212">
        <v>0.9</v>
      </c>
    </row>
    <row r="6" spans="2:6">
      <c r="B6" s="210">
        <v>900</v>
      </c>
      <c r="C6" s="211">
        <v>1.23</v>
      </c>
      <c r="D6" s="211">
        <v>1.27</v>
      </c>
      <c r="E6" s="211">
        <v>1.53</v>
      </c>
      <c r="F6" s="212">
        <v>1.05</v>
      </c>
    </row>
    <row r="7" spans="2:6">
      <c r="B7" s="210">
        <v>1000</v>
      </c>
      <c r="C7" s="211">
        <v>2.13</v>
      </c>
      <c r="D7" s="211">
        <v>2.08</v>
      </c>
      <c r="E7" s="211">
        <v>2.5</v>
      </c>
      <c r="F7" s="212">
        <v>2.33</v>
      </c>
    </row>
    <row r="8" spans="2:6">
      <c r="B8" s="210">
        <v>1100</v>
      </c>
      <c r="C8" s="211">
        <v>2.02</v>
      </c>
      <c r="D8" s="211">
        <v>2.13</v>
      </c>
      <c r="E8" s="211">
        <v>1.42</v>
      </c>
      <c r="F8" s="212">
        <v>2.12</v>
      </c>
    </row>
    <row r="9" spans="2:6">
      <c r="B9" s="210">
        <v>1200</v>
      </c>
      <c r="C9" s="211">
        <v>1.65</v>
      </c>
      <c r="D9" s="211">
        <v>1.88</v>
      </c>
      <c r="E9" s="211">
        <v>1.8</v>
      </c>
      <c r="F9" s="212">
        <v>1.62</v>
      </c>
    </row>
    <row r="10" spans="2:6">
      <c r="B10" s="210">
        <v>1300</v>
      </c>
      <c r="C10" s="211">
        <v>1.45</v>
      </c>
      <c r="D10" s="211">
        <v>1.53</v>
      </c>
      <c r="E10" s="211">
        <v>1.43</v>
      </c>
      <c r="F10" s="212">
        <v>1.25</v>
      </c>
    </row>
    <row r="11" spans="2:6">
      <c r="B11" s="210">
        <v>1400</v>
      </c>
      <c r="C11" s="211">
        <v>1.85</v>
      </c>
      <c r="D11" s="211">
        <v>1.48</v>
      </c>
      <c r="E11" s="211">
        <v>1.62</v>
      </c>
      <c r="F11" s="212">
        <v>1.68</v>
      </c>
    </row>
    <row r="12" spans="2:6">
      <c r="B12" s="210">
        <v>1500</v>
      </c>
      <c r="C12" s="211">
        <v>1.02</v>
      </c>
      <c r="D12" s="211">
        <v>0.97</v>
      </c>
      <c r="E12" s="211">
        <v>1.1200000000000001</v>
      </c>
      <c r="F12" s="212">
        <v>1.03</v>
      </c>
    </row>
    <row r="13" spans="2:6">
      <c r="B13" s="210">
        <v>1600</v>
      </c>
      <c r="C13" s="211">
        <v>0.88</v>
      </c>
      <c r="D13" s="211">
        <v>0.78</v>
      </c>
      <c r="E13" s="211">
        <v>0.72</v>
      </c>
      <c r="F13" s="212">
        <v>0.67</v>
      </c>
    </row>
    <row r="14" spans="2:6">
      <c r="B14" s="210">
        <v>1700</v>
      </c>
      <c r="C14" s="211">
        <v>0.27</v>
      </c>
      <c r="D14" s="211">
        <v>0.63</v>
      </c>
      <c r="E14" s="211">
        <v>0.18</v>
      </c>
      <c r="F14" s="212">
        <v>0.18</v>
      </c>
    </row>
    <row r="15" spans="2:6">
      <c r="B15" s="210">
        <v>1800</v>
      </c>
      <c r="C15" s="211">
        <v>0.27</v>
      </c>
      <c r="D15" s="211">
        <v>0.5</v>
      </c>
      <c r="E15" s="211">
        <v>0.13</v>
      </c>
      <c r="F15" s="212">
        <v>0.13</v>
      </c>
    </row>
    <row r="16" spans="2:6">
      <c r="B16" s="210">
        <v>1900</v>
      </c>
      <c r="C16" s="211">
        <v>0.8</v>
      </c>
      <c r="D16" s="211">
        <v>0.77</v>
      </c>
      <c r="E16" s="211">
        <v>0.7</v>
      </c>
      <c r="F16" s="212">
        <v>0.25</v>
      </c>
    </row>
    <row r="17" spans="2:6">
      <c r="B17" s="210">
        <v>2000</v>
      </c>
      <c r="C17" s="211">
        <v>0.43</v>
      </c>
      <c r="D17" s="211">
        <v>0.22</v>
      </c>
      <c r="E17" s="211">
        <v>0.33</v>
      </c>
      <c r="F17" s="212">
        <v>0.17</v>
      </c>
    </row>
    <row r="18" spans="2:6">
      <c r="B18" s="210">
        <v>2100</v>
      </c>
      <c r="C18" s="211">
        <v>0.75</v>
      </c>
      <c r="D18" s="211">
        <v>1.1299999999999999</v>
      </c>
      <c r="E18" s="211">
        <v>0.92</v>
      </c>
      <c r="F18" s="212">
        <v>0.6</v>
      </c>
    </row>
    <row r="19" spans="2:6">
      <c r="B19" s="210">
        <v>2200</v>
      </c>
      <c r="C19" s="211">
        <v>1.33</v>
      </c>
      <c r="D19" s="211">
        <v>1.1200000000000001</v>
      </c>
      <c r="E19" s="211">
        <v>1.1000000000000001</v>
      </c>
      <c r="F19" s="212">
        <v>0.27</v>
      </c>
    </row>
    <row r="20" spans="2:6">
      <c r="B20" s="210">
        <v>2300</v>
      </c>
      <c r="C20" s="211">
        <v>1.3</v>
      </c>
      <c r="D20" s="211">
        <v>1.5</v>
      </c>
      <c r="E20" s="211">
        <v>1.05</v>
      </c>
      <c r="F20" s="212">
        <v>0.38</v>
      </c>
    </row>
    <row r="21" spans="2:6">
      <c r="B21" s="210">
        <v>2400</v>
      </c>
      <c r="C21" s="211">
        <v>1.75</v>
      </c>
      <c r="D21" s="211">
        <v>1.3</v>
      </c>
      <c r="E21" s="211">
        <v>1.1000000000000001</v>
      </c>
      <c r="F21" s="212">
        <v>0.38</v>
      </c>
    </row>
    <row r="22" spans="2:6">
      <c r="B22" s="210">
        <v>2500</v>
      </c>
      <c r="C22" s="211">
        <v>1.3</v>
      </c>
      <c r="D22" s="211">
        <v>1.25</v>
      </c>
      <c r="E22" s="211">
        <v>0.82</v>
      </c>
      <c r="F22" s="212">
        <v>0.28000000000000003</v>
      </c>
    </row>
    <row r="23" spans="2:6">
      <c r="B23" s="210">
        <v>2600</v>
      </c>
      <c r="C23" s="211">
        <v>0.57999999999999996</v>
      </c>
      <c r="D23" s="211">
        <v>0.83</v>
      </c>
      <c r="E23" s="211">
        <v>0.48</v>
      </c>
      <c r="F23" s="212">
        <v>0.38</v>
      </c>
    </row>
    <row r="24" spans="2:6">
      <c r="B24" s="210">
        <v>2700</v>
      </c>
      <c r="C24" s="211">
        <v>0.42</v>
      </c>
      <c r="D24" s="211">
        <v>0.45</v>
      </c>
      <c r="E24" s="211">
        <v>0.57999999999999996</v>
      </c>
      <c r="F24" s="212">
        <v>0.15</v>
      </c>
    </row>
    <row r="25" spans="2:6">
      <c r="B25" s="210">
        <v>2800</v>
      </c>
      <c r="C25" s="211">
        <v>0.2</v>
      </c>
      <c r="D25" s="211">
        <v>0.32</v>
      </c>
      <c r="E25" s="211">
        <v>0.23</v>
      </c>
      <c r="F25" s="212">
        <v>0.12</v>
      </c>
    </row>
    <row r="26" spans="2:6" ht="13.8" thickBot="1">
      <c r="B26" s="213">
        <v>2900</v>
      </c>
      <c r="C26" s="214">
        <v>0.03</v>
      </c>
      <c r="D26" s="214">
        <v>0.05</v>
      </c>
      <c r="E26" s="214">
        <v>0.12</v>
      </c>
      <c r="F26" s="215">
        <v>7.0000000000000007E-2</v>
      </c>
    </row>
    <row r="27" spans="2:6">
      <c r="B27" s="216" t="s">
        <v>53</v>
      </c>
      <c r="C27" s="217">
        <f>AVERAGE(C3:C26)</f>
        <v>0.96499999999999997</v>
      </c>
      <c r="D27" s="217">
        <f t="shared" ref="D27:F27" si="0">AVERAGE(D3:D26)</f>
        <v>1.01</v>
      </c>
      <c r="E27" s="217">
        <f t="shared" si="0"/>
        <v>1.0095833333333333</v>
      </c>
      <c r="F27" s="218">
        <f t="shared" si="0"/>
        <v>0.69958333333333333</v>
      </c>
    </row>
    <row r="28" spans="2:6" ht="13.8" thickBot="1">
      <c r="B28" s="219" t="s">
        <v>209</v>
      </c>
      <c r="C28" s="220">
        <f>STDEV(C3:C26)</f>
        <v>0.63804047847602363</v>
      </c>
      <c r="D28" s="220">
        <f t="shared" ref="D28:F28" si="1">STDEV(D3:D26)</f>
        <v>0.5808689143448581</v>
      </c>
      <c r="E28" s="220">
        <f t="shared" si="1"/>
        <v>0.6470701807691186</v>
      </c>
      <c r="F28" s="221">
        <f t="shared" si="1"/>
        <v>0.66513469813765291</v>
      </c>
    </row>
    <row r="29" spans="2:6" ht="13.8" thickBot="1">
      <c r="B29" s="222" t="s">
        <v>215</v>
      </c>
      <c r="C29" s="623">
        <f>AVERAGE(C3:F26)</f>
        <v>0.92104166666666643</v>
      </c>
      <c r="D29" s="623"/>
      <c r="E29" s="623"/>
      <c r="F29" s="624"/>
    </row>
    <row r="30" spans="2:6">
      <c r="B30" s="223" t="s">
        <v>216</v>
      </c>
      <c r="C30" s="625">
        <f>STDEV(C3:F26)</f>
        <v>0.63685490236526199</v>
      </c>
      <c r="D30" s="625"/>
      <c r="E30" s="625"/>
      <c r="F30" s="626"/>
    </row>
    <row r="31" spans="2:6">
      <c r="B31" s="224" t="s">
        <v>217</v>
      </c>
      <c r="C31" s="627">
        <f>MEDIAN(C3:F26)</f>
        <v>0.82499999999999996</v>
      </c>
      <c r="D31" s="627"/>
      <c r="E31" s="627"/>
      <c r="F31" s="628"/>
    </row>
    <row r="32" spans="2:6" ht="13.8" thickBot="1">
      <c r="B32" s="225" t="s">
        <v>218</v>
      </c>
      <c r="C32" s="629">
        <f>MODE(C3:F26)</f>
        <v>0.13</v>
      </c>
      <c r="D32" s="629"/>
      <c r="E32" s="629"/>
      <c r="F32" s="630"/>
    </row>
  </sheetData>
  <mergeCells count="4">
    <mergeCell ref="C29:F29"/>
    <mergeCell ref="C30:F30"/>
    <mergeCell ref="C31:F31"/>
    <mergeCell ref="C32:F32"/>
  </mergeCells>
  <phoneticPr fontId="2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B2:N3"/>
  <sheetViews>
    <sheetView workbookViewId="0"/>
  </sheetViews>
  <sheetFormatPr defaultRowHeight="13.2"/>
  <sheetData>
    <row r="2" spans="2:14">
      <c r="B2" s="226"/>
      <c r="C2" s="226">
        <v>1</v>
      </c>
      <c r="D2" s="226">
        <v>2</v>
      </c>
      <c r="E2" s="226">
        <v>3</v>
      </c>
      <c r="F2" s="226">
        <v>4</v>
      </c>
      <c r="G2" s="226">
        <v>5</v>
      </c>
      <c r="H2" s="226">
        <v>6</v>
      </c>
      <c r="I2" s="226">
        <v>7</v>
      </c>
      <c r="J2" s="226">
        <v>8</v>
      </c>
      <c r="K2" s="226">
        <v>9</v>
      </c>
      <c r="L2" s="226">
        <v>10</v>
      </c>
      <c r="M2" s="226">
        <v>11</v>
      </c>
      <c r="N2" s="227" t="s">
        <v>53</v>
      </c>
    </row>
    <row r="3" spans="2:14">
      <c r="B3" s="228" t="s">
        <v>220</v>
      </c>
      <c r="C3" s="229">
        <v>69.3</v>
      </c>
      <c r="D3" s="229">
        <v>69.2</v>
      </c>
      <c r="E3" s="229">
        <v>69.099999999999994</v>
      </c>
      <c r="F3" s="229">
        <v>69.599999999999994</v>
      </c>
      <c r="G3" s="229">
        <v>69.3</v>
      </c>
      <c r="H3" s="229">
        <v>69.099999999999994</v>
      </c>
      <c r="I3" s="229">
        <v>69.3</v>
      </c>
      <c r="J3" s="229">
        <v>68.7</v>
      </c>
      <c r="K3" s="229">
        <v>69.400000000000006</v>
      </c>
      <c r="L3" s="229">
        <v>69</v>
      </c>
      <c r="M3" s="229">
        <v>69.2</v>
      </c>
      <c r="N3" s="230">
        <f>AVERAGE(C3:M3)</f>
        <v>69.2</v>
      </c>
    </row>
  </sheetData>
  <phoneticPr fontId="2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B2:N5"/>
  <sheetViews>
    <sheetView workbookViewId="0"/>
  </sheetViews>
  <sheetFormatPr defaultRowHeight="13.2"/>
  <sheetData>
    <row r="2" spans="2:14">
      <c r="B2" s="237"/>
      <c r="C2" s="237">
        <v>1</v>
      </c>
      <c r="D2" s="237">
        <v>2</v>
      </c>
      <c r="E2" s="237">
        <v>3</v>
      </c>
      <c r="F2" s="237">
        <v>4</v>
      </c>
      <c r="G2" s="237">
        <v>5</v>
      </c>
      <c r="H2" s="237">
        <v>6</v>
      </c>
      <c r="I2" s="237">
        <v>7</v>
      </c>
      <c r="J2" s="237">
        <v>8</v>
      </c>
      <c r="K2" s="237">
        <v>9</v>
      </c>
      <c r="L2" s="237">
        <v>10</v>
      </c>
      <c r="M2" s="237">
        <v>11</v>
      </c>
      <c r="N2" s="227" t="s">
        <v>53</v>
      </c>
    </row>
    <row r="3" spans="2:14">
      <c r="B3" s="238" t="s">
        <v>220</v>
      </c>
      <c r="C3" s="239">
        <v>69.3</v>
      </c>
      <c r="D3" s="239">
        <v>69.2</v>
      </c>
      <c r="E3" s="239">
        <v>69.099999999999994</v>
      </c>
      <c r="F3" s="239">
        <v>69.599999999999994</v>
      </c>
      <c r="G3" s="239">
        <v>69.3</v>
      </c>
      <c r="H3" s="239">
        <v>69.099999999999994</v>
      </c>
      <c r="I3" s="239">
        <v>69.3</v>
      </c>
      <c r="J3" s="239">
        <v>68.7</v>
      </c>
      <c r="K3" s="239">
        <v>69.400000000000006</v>
      </c>
      <c r="L3" s="239">
        <v>69</v>
      </c>
      <c r="M3" s="239">
        <v>69.2</v>
      </c>
      <c r="N3" s="239">
        <f>AVERAGE(C3:M3)</f>
        <v>69.2</v>
      </c>
    </row>
    <row r="4" spans="2:14">
      <c r="B4" s="306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9" t="s">
        <v>28</v>
      </c>
    </row>
    <row r="5" spans="2:14">
      <c r="B5" s="480" t="s">
        <v>414</v>
      </c>
      <c r="C5" s="481">
        <f>(C3-$N$3)^2</f>
        <v>9.999999999998864E-3</v>
      </c>
      <c r="D5" s="481">
        <f t="shared" ref="D5:M5" si="0">(D3-$N$3)^2</f>
        <v>0</v>
      </c>
      <c r="E5" s="481">
        <f t="shared" si="0"/>
        <v>1.0000000000001705E-2</v>
      </c>
      <c r="F5" s="481">
        <f t="shared" si="0"/>
        <v>0.15999999999999318</v>
      </c>
      <c r="G5" s="481">
        <f t="shared" si="0"/>
        <v>9.999999999998864E-3</v>
      </c>
      <c r="H5" s="481">
        <f t="shared" si="0"/>
        <v>1.0000000000001705E-2</v>
      </c>
      <c r="I5" s="481">
        <f t="shared" si="0"/>
        <v>9.999999999998864E-3</v>
      </c>
      <c r="J5" s="481">
        <f t="shared" si="0"/>
        <v>0.25</v>
      </c>
      <c r="K5" s="481">
        <f t="shared" si="0"/>
        <v>4.0000000000001139E-2</v>
      </c>
      <c r="L5" s="481">
        <f t="shared" si="0"/>
        <v>4.0000000000001139E-2</v>
      </c>
      <c r="M5" s="482">
        <f t="shared" si="0"/>
        <v>0</v>
      </c>
      <c r="N5" s="481">
        <f>SUM(C5:M5)</f>
        <v>0.53999999999999548</v>
      </c>
    </row>
  </sheetData>
  <phoneticPr fontId="2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C2:F23"/>
  <sheetViews>
    <sheetView workbookViewId="0"/>
  </sheetViews>
  <sheetFormatPr defaultRowHeight="13.2"/>
  <sheetData>
    <row r="2" spans="3:6">
      <c r="C2" s="483" t="s">
        <v>415</v>
      </c>
      <c r="D2" s="631" t="s">
        <v>416</v>
      </c>
      <c r="E2" s="631"/>
      <c r="F2" s="631"/>
    </row>
    <row r="3" spans="3:6">
      <c r="C3" s="484" t="s">
        <v>417</v>
      </c>
      <c r="D3" s="485">
        <v>0.1</v>
      </c>
      <c r="E3" s="485">
        <v>0.05</v>
      </c>
      <c r="F3" s="485">
        <v>0.01</v>
      </c>
    </row>
    <row r="4" spans="3:6">
      <c r="C4" s="237">
        <v>1</v>
      </c>
      <c r="D4" s="486">
        <f>_xlfn.T.INV.2T($D$3,C4)</f>
        <v>6.3137515146750438</v>
      </c>
      <c r="E4" s="486">
        <f>_xlfn.T.INV.2T($E$3,C4)</f>
        <v>12.706204736174707</v>
      </c>
      <c r="F4" s="486">
        <f>_xlfn.T.INV.2T($F$3,C4)</f>
        <v>63.656741162871583</v>
      </c>
    </row>
    <row r="5" spans="3:6">
      <c r="C5" s="237">
        <v>2</v>
      </c>
      <c r="D5" s="486">
        <f t="shared" ref="D5:D23" si="0">_xlfn.T.INV.2T($D$3,C5)</f>
        <v>2.9199855803537269</v>
      </c>
      <c r="E5" s="486">
        <f t="shared" ref="E5:E23" si="1">_xlfn.T.INV.2T($E$3,C5)</f>
        <v>4.3026527297494637</v>
      </c>
      <c r="F5" s="486">
        <f t="shared" ref="F5:F23" si="2">_xlfn.T.INV.2T($F$3,C5)</f>
        <v>9.9248432009182928</v>
      </c>
    </row>
    <row r="6" spans="3:6">
      <c r="C6" s="237">
        <v>3</v>
      </c>
      <c r="D6" s="486">
        <f t="shared" si="0"/>
        <v>2.3533634348018233</v>
      </c>
      <c r="E6" s="486">
        <f t="shared" si="1"/>
        <v>3.1824463052837091</v>
      </c>
      <c r="F6" s="486">
        <f t="shared" si="2"/>
        <v>5.8409093097333571</v>
      </c>
    </row>
    <row r="7" spans="3:6">
      <c r="C7" s="237">
        <v>4</v>
      </c>
      <c r="D7" s="486">
        <f t="shared" si="0"/>
        <v>2.1318467863266499</v>
      </c>
      <c r="E7" s="486">
        <f t="shared" si="1"/>
        <v>2.7764451051977934</v>
      </c>
      <c r="F7" s="486">
        <f t="shared" si="2"/>
        <v>4.604094871349993</v>
      </c>
    </row>
    <row r="8" spans="3:6">
      <c r="C8" s="237">
        <v>5</v>
      </c>
      <c r="D8" s="486">
        <f t="shared" si="0"/>
        <v>2.0150483733330233</v>
      </c>
      <c r="E8" s="486">
        <f t="shared" si="1"/>
        <v>2.570581835636315</v>
      </c>
      <c r="F8" s="486">
        <f t="shared" si="2"/>
        <v>4.0321429835552278</v>
      </c>
    </row>
    <row r="9" spans="3:6">
      <c r="C9" s="237">
        <v>6</v>
      </c>
      <c r="D9" s="486">
        <f t="shared" si="0"/>
        <v>1.9431802805153031</v>
      </c>
      <c r="E9" s="486">
        <f t="shared" si="1"/>
        <v>2.4469118511449697</v>
      </c>
      <c r="F9" s="486">
        <f t="shared" si="2"/>
        <v>3.7074280213247794</v>
      </c>
    </row>
    <row r="10" spans="3:6">
      <c r="C10" s="237">
        <v>7</v>
      </c>
      <c r="D10" s="486">
        <f t="shared" si="0"/>
        <v>1.8945786050900073</v>
      </c>
      <c r="E10" s="486">
        <f t="shared" si="1"/>
        <v>2.3646242515927849</v>
      </c>
      <c r="F10" s="486">
        <f t="shared" si="2"/>
        <v>3.4994832973504946</v>
      </c>
    </row>
    <row r="11" spans="3:6">
      <c r="C11" s="237">
        <v>8</v>
      </c>
      <c r="D11" s="486">
        <f t="shared" si="0"/>
        <v>1.8595480375308981</v>
      </c>
      <c r="E11" s="486">
        <f t="shared" si="1"/>
        <v>2.3060041352041671</v>
      </c>
      <c r="F11" s="486">
        <f t="shared" si="2"/>
        <v>3.3553873313333953</v>
      </c>
    </row>
    <row r="12" spans="3:6">
      <c r="C12" s="237">
        <v>9</v>
      </c>
      <c r="D12" s="486">
        <f t="shared" si="0"/>
        <v>1.8331129326562374</v>
      </c>
      <c r="E12" s="486">
        <f t="shared" si="1"/>
        <v>2.2621571627982053</v>
      </c>
      <c r="F12" s="486">
        <f t="shared" si="2"/>
        <v>3.2498355415921263</v>
      </c>
    </row>
    <row r="13" spans="3:6">
      <c r="C13" s="237">
        <v>10</v>
      </c>
      <c r="D13" s="486">
        <f t="shared" si="0"/>
        <v>1.812461122811676</v>
      </c>
      <c r="E13" s="486">
        <f t="shared" si="1"/>
        <v>2.2281388519862744</v>
      </c>
      <c r="F13" s="486">
        <f t="shared" si="2"/>
        <v>3.1692726726169518</v>
      </c>
    </row>
    <row r="14" spans="3:6">
      <c r="C14" s="237">
        <v>11</v>
      </c>
      <c r="D14" s="486">
        <f t="shared" si="0"/>
        <v>1.7958848187040437</v>
      </c>
      <c r="E14" s="486">
        <f t="shared" si="1"/>
        <v>2.2009851600916384</v>
      </c>
      <c r="F14" s="486">
        <f t="shared" si="2"/>
        <v>3.1058065155392809</v>
      </c>
    </row>
    <row r="15" spans="3:6">
      <c r="C15" s="237">
        <v>12</v>
      </c>
      <c r="D15" s="486">
        <f t="shared" si="0"/>
        <v>1.7822875556493194</v>
      </c>
      <c r="E15" s="486">
        <f t="shared" si="1"/>
        <v>2.1788128296672284</v>
      </c>
      <c r="F15" s="486">
        <f t="shared" si="2"/>
        <v>3.0545395893929017</v>
      </c>
    </row>
    <row r="16" spans="3:6">
      <c r="C16" s="237">
        <v>13</v>
      </c>
      <c r="D16" s="486">
        <f t="shared" si="0"/>
        <v>1.7709333959868729</v>
      </c>
      <c r="E16" s="486">
        <f t="shared" si="1"/>
        <v>2.1603686564627926</v>
      </c>
      <c r="F16" s="486">
        <f t="shared" si="2"/>
        <v>3.0122758387165782</v>
      </c>
    </row>
    <row r="17" spans="3:6">
      <c r="C17" s="237">
        <v>14</v>
      </c>
      <c r="D17" s="486">
        <f t="shared" si="0"/>
        <v>1.7613101357748921</v>
      </c>
      <c r="E17" s="486">
        <f t="shared" si="1"/>
        <v>2.1447866879178044</v>
      </c>
      <c r="F17" s="486">
        <f t="shared" si="2"/>
        <v>2.9768427343708348</v>
      </c>
    </row>
    <row r="18" spans="3:6">
      <c r="C18" s="237">
        <v>15</v>
      </c>
      <c r="D18" s="486">
        <f t="shared" si="0"/>
        <v>1.7530503556925723</v>
      </c>
      <c r="E18" s="486">
        <f t="shared" si="1"/>
        <v>2.1314495455597742</v>
      </c>
      <c r="F18" s="486">
        <f t="shared" si="2"/>
        <v>2.9467128834752381</v>
      </c>
    </row>
    <row r="19" spans="3:6">
      <c r="C19" s="237">
        <v>16</v>
      </c>
      <c r="D19" s="486">
        <f t="shared" si="0"/>
        <v>1.7458836762762506</v>
      </c>
      <c r="E19" s="486">
        <f t="shared" si="1"/>
        <v>2.119905299221255</v>
      </c>
      <c r="F19" s="486">
        <f t="shared" si="2"/>
        <v>2.9207816224251002</v>
      </c>
    </row>
    <row r="20" spans="3:6">
      <c r="C20" s="237">
        <v>17</v>
      </c>
      <c r="D20" s="486">
        <f t="shared" si="0"/>
        <v>1.7396067260750732</v>
      </c>
      <c r="E20" s="486">
        <f t="shared" si="1"/>
        <v>2.109815577833317</v>
      </c>
      <c r="F20" s="486">
        <f t="shared" si="2"/>
        <v>2.8982305196774178</v>
      </c>
    </row>
    <row r="21" spans="3:6">
      <c r="C21" s="237">
        <v>18</v>
      </c>
      <c r="D21" s="486">
        <f t="shared" si="0"/>
        <v>1.7340636066175394</v>
      </c>
      <c r="E21" s="486">
        <f t="shared" si="1"/>
        <v>2.1009220402410378</v>
      </c>
      <c r="F21" s="486">
        <f t="shared" si="2"/>
        <v>2.8784404727386073</v>
      </c>
    </row>
    <row r="22" spans="3:6">
      <c r="C22" s="237">
        <v>19</v>
      </c>
      <c r="D22" s="486">
        <f t="shared" si="0"/>
        <v>1.7291328115213698</v>
      </c>
      <c r="E22" s="486">
        <f t="shared" si="1"/>
        <v>2.0930240544083096</v>
      </c>
      <c r="F22" s="486">
        <f t="shared" si="2"/>
        <v>2.8609346064649799</v>
      </c>
    </row>
    <row r="23" spans="3:6">
      <c r="C23" s="237">
        <v>20</v>
      </c>
      <c r="D23" s="486">
        <f t="shared" si="0"/>
        <v>1.7247182429207868</v>
      </c>
      <c r="E23" s="486">
        <f t="shared" si="1"/>
        <v>2.0859634472658648</v>
      </c>
      <c r="F23" s="486">
        <f t="shared" si="2"/>
        <v>2.8453397097861091</v>
      </c>
    </row>
  </sheetData>
  <mergeCells count="1">
    <mergeCell ref="D2:F2"/>
  </mergeCells>
  <phoneticPr fontId="2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C2:E23"/>
  <sheetViews>
    <sheetView workbookViewId="0"/>
  </sheetViews>
  <sheetFormatPr defaultRowHeight="13.2"/>
  <sheetData>
    <row r="2" spans="3:5">
      <c r="C2" s="483" t="s">
        <v>415</v>
      </c>
      <c r="D2" s="631" t="s">
        <v>418</v>
      </c>
      <c r="E2" s="631"/>
    </row>
    <row r="3" spans="3:5">
      <c r="C3" s="484" t="s">
        <v>417</v>
      </c>
      <c r="D3" s="485">
        <v>0.05</v>
      </c>
      <c r="E3" s="485">
        <v>0.01</v>
      </c>
    </row>
    <row r="4" spans="3:5">
      <c r="C4" s="237">
        <v>1</v>
      </c>
      <c r="D4" s="486">
        <f>_xlfn.CHISQ.INV.RT(D$3,$C4)</f>
        <v>3.8414588206941236</v>
      </c>
      <c r="E4" s="486">
        <f>_xlfn.CHISQ.INV.RT(E$3,$C4)</f>
        <v>6.6348966010212118</v>
      </c>
    </row>
    <row r="5" spans="3:5">
      <c r="C5" s="237">
        <v>2</v>
      </c>
      <c r="D5" s="486">
        <f t="shared" ref="D5:E23" si="0">_xlfn.CHISQ.INV.RT(D$3,$C5)</f>
        <v>5.9914645471079817</v>
      </c>
      <c r="E5" s="486">
        <f t="shared" si="0"/>
        <v>9.2103403719761818</v>
      </c>
    </row>
    <row r="6" spans="3:5">
      <c r="C6" s="237">
        <v>3</v>
      </c>
      <c r="D6" s="486">
        <f t="shared" si="0"/>
        <v>7.8147279032511792</v>
      </c>
      <c r="E6" s="486">
        <f t="shared" si="0"/>
        <v>11.344866730144371</v>
      </c>
    </row>
    <row r="7" spans="3:5">
      <c r="C7" s="237">
        <v>4</v>
      </c>
      <c r="D7" s="486">
        <f t="shared" si="0"/>
        <v>9.4877290367811575</v>
      </c>
      <c r="E7" s="486">
        <f t="shared" si="0"/>
        <v>13.276704135987623</v>
      </c>
    </row>
    <row r="8" spans="3:5">
      <c r="C8" s="237">
        <v>5</v>
      </c>
      <c r="D8" s="486">
        <f t="shared" si="0"/>
        <v>11.070497693516353</v>
      </c>
      <c r="E8" s="486">
        <f t="shared" si="0"/>
        <v>15.086272469388991</v>
      </c>
    </row>
    <row r="9" spans="3:5">
      <c r="C9" s="237">
        <v>6</v>
      </c>
      <c r="D9" s="486">
        <f t="shared" si="0"/>
        <v>12.591587243743978</v>
      </c>
      <c r="E9" s="486">
        <f t="shared" si="0"/>
        <v>16.811893829770931</v>
      </c>
    </row>
    <row r="10" spans="3:5">
      <c r="C10" s="237">
        <v>7</v>
      </c>
      <c r="D10" s="486">
        <f t="shared" si="0"/>
        <v>14.067140449340167</v>
      </c>
      <c r="E10" s="486">
        <f t="shared" si="0"/>
        <v>18.475306906582361</v>
      </c>
    </row>
    <row r="11" spans="3:5">
      <c r="C11" s="237">
        <v>8</v>
      </c>
      <c r="D11" s="486">
        <f t="shared" si="0"/>
        <v>15.507313055865453</v>
      </c>
      <c r="E11" s="486">
        <f t="shared" si="0"/>
        <v>20.090235029663233</v>
      </c>
    </row>
    <row r="12" spans="3:5">
      <c r="C12" s="237">
        <v>9</v>
      </c>
      <c r="D12" s="486">
        <f t="shared" si="0"/>
        <v>16.918977604620451</v>
      </c>
      <c r="E12" s="486">
        <f t="shared" si="0"/>
        <v>21.665994333461931</v>
      </c>
    </row>
    <row r="13" spans="3:5">
      <c r="C13" s="237">
        <v>10</v>
      </c>
      <c r="D13" s="486">
        <f t="shared" si="0"/>
        <v>18.307038053275146</v>
      </c>
      <c r="E13" s="486">
        <f t="shared" si="0"/>
        <v>23.209251158954359</v>
      </c>
    </row>
    <row r="14" spans="3:5">
      <c r="C14" s="237">
        <v>11</v>
      </c>
      <c r="D14" s="486">
        <f t="shared" si="0"/>
        <v>19.675137572682498</v>
      </c>
      <c r="E14" s="486">
        <f t="shared" si="0"/>
        <v>24.724970311318284</v>
      </c>
    </row>
    <row r="15" spans="3:5">
      <c r="C15" s="237">
        <v>12</v>
      </c>
      <c r="D15" s="486">
        <f t="shared" si="0"/>
        <v>21.026069817483066</v>
      </c>
      <c r="E15" s="486">
        <f t="shared" si="0"/>
        <v>26.216967305535849</v>
      </c>
    </row>
    <row r="16" spans="3:5">
      <c r="C16" s="237">
        <v>13</v>
      </c>
      <c r="D16" s="486">
        <f t="shared" si="0"/>
        <v>22.362032494826938</v>
      </c>
      <c r="E16" s="486">
        <f t="shared" si="0"/>
        <v>27.688249610457049</v>
      </c>
    </row>
    <row r="17" spans="3:5">
      <c r="C17" s="237">
        <v>14</v>
      </c>
      <c r="D17" s="486">
        <f t="shared" si="0"/>
        <v>23.68479130484058</v>
      </c>
      <c r="E17" s="486">
        <f t="shared" si="0"/>
        <v>29.141237740672796</v>
      </c>
    </row>
    <row r="18" spans="3:5">
      <c r="C18" s="237">
        <v>15</v>
      </c>
      <c r="D18" s="486">
        <f t="shared" si="0"/>
        <v>24.99579013972863</v>
      </c>
      <c r="E18" s="486">
        <f t="shared" si="0"/>
        <v>30.577914166892494</v>
      </c>
    </row>
    <row r="19" spans="3:5">
      <c r="C19" s="237">
        <v>16</v>
      </c>
      <c r="D19" s="486">
        <f t="shared" si="0"/>
        <v>26.296227604864239</v>
      </c>
      <c r="E19" s="486">
        <f t="shared" si="0"/>
        <v>31.999926908815183</v>
      </c>
    </row>
    <row r="20" spans="3:5">
      <c r="C20" s="237">
        <v>17</v>
      </c>
      <c r="D20" s="486">
        <f t="shared" si="0"/>
        <v>27.587111638275324</v>
      </c>
      <c r="E20" s="486">
        <f t="shared" si="0"/>
        <v>33.408663605004612</v>
      </c>
    </row>
    <row r="21" spans="3:5">
      <c r="C21" s="237">
        <v>18</v>
      </c>
      <c r="D21" s="486">
        <f t="shared" si="0"/>
        <v>28.869299430392633</v>
      </c>
      <c r="E21" s="486">
        <f t="shared" si="0"/>
        <v>34.805305734705072</v>
      </c>
    </row>
    <row r="22" spans="3:5">
      <c r="C22" s="237">
        <v>19</v>
      </c>
      <c r="D22" s="486">
        <f t="shared" si="0"/>
        <v>30.143527205646155</v>
      </c>
      <c r="E22" s="486">
        <f t="shared" si="0"/>
        <v>36.190869129270048</v>
      </c>
    </row>
    <row r="23" spans="3:5">
      <c r="C23" s="237">
        <v>20</v>
      </c>
      <c r="D23" s="486">
        <f t="shared" si="0"/>
        <v>31.410432844230925</v>
      </c>
      <c r="E23" s="486">
        <f t="shared" si="0"/>
        <v>37.566234786625053</v>
      </c>
    </row>
  </sheetData>
  <mergeCells count="1">
    <mergeCell ref="D2:E2"/>
  </mergeCells>
  <phoneticPr fontId="2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B2:M19"/>
  <sheetViews>
    <sheetView workbookViewId="0"/>
  </sheetViews>
  <sheetFormatPr defaultRowHeight="13.2"/>
  <sheetData>
    <row r="2" spans="2:13">
      <c r="D2" s="422">
        <v>2.5000000000000001E-2</v>
      </c>
    </row>
    <row r="3" spans="2:13">
      <c r="B3" s="632"/>
      <c r="C3" s="632"/>
      <c r="D3" s="633" t="s">
        <v>419</v>
      </c>
      <c r="E3" s="633"/>
      <c r="F3" s="633"/>
      <c r="G3" s="633"/>
      <c r="H3" s="633"/>
      <c r="I3" s="633"/>
      <c r="J3" s="633"/>
      <c r="K3" s="633"/>
      <c r="L3" s="633"/>
      <c r="M3" s="633"/>
    </row>
    <row r="4" spans="2:13">
      <c r="B4" s="632"/>
      <c r="C4" s="632"/>
      <c r="D4" s="237">
        <v>1</v>
      </c>
      <c r="E4" s="237">
        <v>2</v>
      </c>
      <c r="F4" s="237">
        <v>3</v>
      </c>
      <c r="G4" s="237">
        <v>4</v>
      </c>
      <c r="H4" s="237">
        <v>5</v>
      </c>
      <c r="I4" s="237">
        <v>6</v>
      </c>
      <c r="J4" s="237">
        <v>7</v>
      </c>
      <c r="K4" s="237">
        <v>8</v>
      </c>
      <c r="L4" s="237">
        <v>9</v>
      </c>
      <c r="M4" s="237">
        <v>10</v>
      </c>
    </row>
    <row r="5" spans="2:13">
      <c r="B5" s="634" t="s">
        <v>420</v>
      </c>
      <c r="C5" s="237">
        <v>1</v>
      </c>
      <c r="D5" s="487">
        <f>FINV($D$2,D$4,$C5)</f>
        <v>647.78901147784529</v>
      </c>
      <c r="E5" s="487">
        <f t="shared" ref="E5:M19" si="0">FINV($D$2,E$4,$C5)</f>
        <v>799.5</v>
      </c>
      <c r="F5" s="487">
        <f t="shared" si="0"/>
        <v>864.16297216352962</v>
      </c>
      <c r="G5" s="487">
        <f t="shared" si="0"/>
        <v>899.58331017803755</v>
      </c>
      <c r="H5" s="487">
        <f t="shared" si="0"/>
        <v>921.84790329970929</v>
      </c>
      <c r="I5" s="487">
        <f t="shared" si="0"/>
        <v>937.11108344820218</v>
      </c>
      <c r="J5" s="487">
        <f t="shared" si="0"/>
        <v>948.21688909393424</v>
      </c>
      <c r="K5" s="487">
        <f t="shared" si="0"/>
        <v>956.65622060310352</v>
      </c>
      <c r="L5" s="487">
        <f t="shared" si="0"/>
        <v>963.28457894676114</v>
      </c>
      <c r="M5" s="487">
        <f t="shared" si="0"/>
        <v>968.62744367696587</v>
      </c>
    </row>
    <row r="6" spans="2:13">
      <c r="B6" s="634"/>
      <c r="C6" s="237">
        <v>2</v>
      </c>
      <c r="D6" s="487">
        <f t="shared" ref="D6:D19" si="1">FINV($D$2,D$4,$C6)</f>
        <v>38.506329113924046</v>
      </c>
      <c r="E6" s="487">
        <f t="shared" si="0"/>
        <v>38.999999999999993</v>
      </c>
      <c r="F6" s="487">
        <f t="shared" si="0"/>
        <v>39.165494564013635</v>
      </c>
      <c r="G6" s="487">
        <f t="shared" si="0"/>
        <v>39.248417658131501</v>
      </c>
      <c r="H6" s="487">
        <f t="shared" si="0"/>
        <v>39.298227775403326</v>
      </c>
      <c r="I6" s="487">
        <f t="shared" si="0"/>
        <v>39.331457962410276</v>
      </c>
      <c r="J6" s="487">
        <f t="shared" si="0"/>
        <v>39.355205292186163</v>
      </c>
      <c r="K6" s="487">
        <f t="shared" si="0"/>
        <v>39.37302206870244</v>
      </c>
      <c r="L6" s="487">
        <f t="shared" si="0"/>
        <v>39.386883282551338</v>
      </c>
      <c r="M6" s="487">
        <f t="shared" si="0"/>
        <v>39.397974597864426</v>
      </c>
    </row>
    <row r="7" spans="2:13">
      <c r="B7" s="634"/>
      <c r="C7" s="237">
        <v>3</v>
      </c>
      <c r="D7" s="487">
        <f t="shared" si="1"/>
        <v>17.443443320725127</v>
      </c>
      <c r="E7" s="487">
        <f t="shared" si="0"/>
        <v>16.044106429277196</v>
      </c>
      <c r="F7" s="487">
        <f t="shared" si="0"/>
        <v>15.439182378747292</v>
      </c>
      <c r="G7" s="487">
        <f t="shared" si="0"/>
        <v>15.100978932045942</v>
      </c>
      <c r="H7" s="487">
        <f t="shared" si="0"/>
        <v>14.884822920641971</v>
      </c>
      <c r="I7" s="487">
        <f t="shared" si="0"/>
        <v>14.734718413039163</v>
      </c>
      <c r="J7" s="487">
        <f t="shared" si="0"/>
        <v>14.624395022241272</v>
      </c>
      <c r="K7" s="487">
        <f t="shared" si="0"/>
        <v>14.53988657041725</v>
      </c>
      <c r="L7" s="487">
        <f t="shared" si="0"/>
        <v>14.473080651773735</v>
      </c>
      <c r="M7" s="487">
        <f t="shared" si="0"/>
        <v>14.418942042127425</v>
      </c>
    </row>
    <row r="8" spans="2:13">
      <c r="B8" s="634"/>
      <c r="C8" s="237">
        <v>4</v>
      </c>
      <c r="D8" s="487">
        <f t="shared" si="1"/>
        <v>12.217862633071109</v>
      </c>
      <c r="E8" s="487">
        <f t="shared" si="0"/>
        <v>10.649110640673515</v>
      </c>
      <c r="F8" s="487">
        <f t="shared" si="0"/>
        <v>9.9791985322438865</v>
      </c>
      <c r="G8" s="487">
        <f t="shared" si="0"/>
        <v>9.6045298847228668</v>
      </c>
      <c r="H8" s="487">
        <f t="shared" si="0"/>
        <v>9.3644708158082981</v>
      </c>
      <c r="I8" s="487">
        <f t="shared" si="0"/>
        <v>9.1973110793662123</v>
      </c>
      <c r="J8" s="487">
        <f t="shared" si="0"/>
        <v>9.0741410515680592</v>
      </c>
      <c r="K8" s="487">
        <f t="shared" si="0"/>
        <v>8.979580415011041</v>
      </c>
      <c r="L8" s="487">
        <f t="shared" si="0"/>
        <v>8.9046816145985854</v>
      </c>
      <c r="M8" s="487">
        <f t="shared" si="0"/>
        <v>8.8438809735214274</v>
      </c>
    </row>
    <row r="9" spans="2:13">
      <c r="B9" s="634"/>
      <c r="C9" s="237">
        <v>5</v>
      </c>
      <c r="D9" s="487">
        <f t="shared" si="1"/>
        <v>10.006982196613588</v>
      </c>
      <c r="E9" s="487">
        <f t="shared" si="0"/>
        <v>8.4336207394327811</v>
      </c>
      <c r="F9" s="487">
        <f t="shared" si="0"/>
        <v>7.7635894820185474</v>
      </c>
      <c r="G9" s="487">
        <f t="shared" si="0"/>
        <v>7.3878857512677536</v>
      </c>
      <c r="H9" s="487">
        <f t="shared" si="0"/>
        <v>7.1463818287328316</v>
      </c>
      <c r="I9" s="487">
        <f t="shared" si="0"/>
        <v>6.9777018585355677</v>
      </c>
      <c r="J9" s="487">
        <f t="shared" si="0"/>
        <v>6.8530756285766561</v>
      </c>
      <c r="K9" s="487">
        <f t="shared" si="0"/>
        <v>6.7571720073946775</v>
      </c>
      <c r="L9" s="487">
        <f t="shared" si="0"/>
        <v>6.6810543464609058</v>
      </c>
      <c r="M9" s="487">
        <f t="shared" si="0"/>
        <v>6.6191543314249648</v>
      </c>
    </row>
    <row r="10" spans="2:13">
      <c r="B10" s="634"/>
      <c r="C10" s="237">
        <v>6</v>
      </c>
      <c r="D10" s="487">
        <f t="shared" si="1"/>
        <v>8.8131006286700746</v>
      </c>
      <c r="E10" s="487">
        <f t="shared" si="0"/>
        <v>7.2598556800601788</v>
      </c>
      <c r="F10" s="487">
        <f t="shared" si="0"/>
        <v>6.5987985219564722</v>
      </c>
      <c r="G10" s="487">
        <f t="shared" si="0"/>
        <v>6.2271611643576446</v>
      </c>
      <c r="H10" s="487">
        <f t="shared" si="0"/>
        <v>5.9875651260469276</v>
      </c>
      <c r="I10" s="487">
        <f t="shared" si="0"/>
        <v>5.819756578960777</v>
      </c>
      <c r="J10" s="487">
        <f t="shared" si="0"/>
        <v>5.6954704736831747</v>
      </c>
      <c r="K10" s="487">
        <f t="shared" si="0"/>
        <v>5.5996230050430462</v>
      </c>
      <c r="L10" s="487">
        <f t="shared" si="0"/>
        <v>5.5234066239755757</v>
      </c>
      <c r="M10" s="487">
        <f t="shared" si="0"/>
        <v>5.4613237187317791</v>
      </c>
    </row>
    <row r="11" spans="2:13">
      <c r="B11" s="634"/>
      <c r="C11" s="237">
        <v>7</v>
      </c>
      <c r="D11" s="487">
        <f t="shared" si="1"/>
        <v>8.0726688801355753</v>
      </c>
      <c r="E11" s="487">
        <f t="shared" si="0"/>
        <v>6.5415202970956496</v>
      </c>
      <c r="F11" s="487">
        <f t="shared" si="0"/>
        <v>5.8898191672032567</v>
      </c>
      <c r="G11" s="487">
        <f t="shared" si="0"/>
        <v>5.5225943453085522</v>
      </c>
      <c r="H11" s="487">
        <f t="shared" si="0"/>
        <v>5.285236851504278</v>
      </c>
      <c r="I11" s="487">
        <f t="shared" si="0"/>
        <v>5.1185966133841054</v>
      </c>
      <c r="J11" s="487">
        <f t="shared" si="0"/>
        <v>4.9949092190632376</v>
      </c>
      <c r="K11" s="487">
        <f t="shared" si="0"/>
        <v>4.899340648268236</v>
      </c>
      <c r="L11" s="487">
        <f t="shared" si="0"/>
        <v>4.8232170846229341</v>
      </c>
      <c r="M11" s="487">
        <f t="shared" si="0"/>
        <v>4.7611164349968123</v>
      </c>
    </row>
    <row r="12" spans="2:13">
      <c r="B12" s="634"/>
      <c r="C12" s="237">
        <v>8</v>
      </c>
      <c r="D12" s="487">
        <f t="shared" si="1"/>
        <v>7.5708820996917465</v>
      </c>
      <c r="E12" s="487">
        <f t="shared" si="0"/>
        <v>6.0594674374634812</v>
      </c>
      <c r="F12" s="487">
        <f t="shared" si="0"/>
        <v>5.4159623395602381</v>
      </c>
      <c r="G12" s="487">
        <f t="shared" si="0"/>
        <v>5.0526322173635085</v>
      </c>
      <c r="H12" s="487">
        <f t="shared" si="0"/>
        <v>4.8172755552655318</v>
      </c>
      <c r="I12" s="487">
        <f t="shared" si="0"/>
        <v>4.6516955373004656</v>
      </c>
      <c r="J12" s="487">
        <f t="shared" si="0"/>
        <v>4.528562147363858</v>
      </c>
      <c r="K12" s="487">
        <f t="shared" si="0"/>
        <v>4.4332598891823745</v>
      </c>
      <c r="L12" s="487">
        <f t="shared" si="0"/>
        <v>4.3572330649602122</v>
      </c>
      <c r="M12" s="487">
        <f t="shared" si="0"/>
        <v>4.2951269601725865</v>
      </c>
    </row>
    <row r="13" spans="2:13">
      <c r="B13" s="634"/>
      <c r="C13" s="237">
        <v>9</v>
      </c>
      <c r="D13" s="487">
        <f t="shared" si="1"/>
        <v>7.2092832475220154</v>
      </c>
      <c r="E13" s="487">
        <f t="shared" si="0"/>
        <v>5.7147053863830601</v>
      </c>
      <c r="F13" s="487">
        <f t="shared" si="0"/>
        <v>5.0781186522287127</v>
      </c>
      <c r="G13" s="487">
        <f t="shared" si="0"/>
        <v>4.7180784581281952</v>
      </c>
      <c r="H13" s="487">
        <f t="shared" si="0"/>
        <v>4.4844113141850377</v>
      </c>
      <c r="I13" s="487">
        <f t="shared" si="0"/>
        <v>4.3197218332928919</v>
      </c>
      <c r="J13" s="487">
        <f t="shared" si="0"/>
        <v>4.1970466369455171</v>
      </c>
      <c r="K13" s="487">
        <f t="shared" si="0"/>
        <v>4.1019556969397488</v>
      </c>
      <c r="L13" s="487">
        <f t="shared" si="0"/>
        <v>4.0259941582829777</v>
      </c>
      <c r="M13" s="487">
        <f t="shared" si="0"/>
        <v>3.9638651576225312</v>
      </c>
    </row>
    <row r="14" spans="2:13">
      <c r="B14" s="634"/>
      <c r="C14" s="237">
        <v>10</v>
      </c>
      <c r="D14" s="487">
        <f t="shared" si="1"/>
        <v>6.9367281662969829</v>
      </c>
      <c r="E14" s="487">
        <f t="shared" si="0"/>
        <v>5.4563955259127335</v>
      </c>
      <c r="F14" s="487">
        <f t="shared" si="0"/>
        <v>4.825621493405408</v>
      </c>
      <c r="G14" s="487">
        <f t="shared" si="0"/>
        <v>4.4683415782252816</v>
      </c>
      <c r="H14" s="487">
        <f t="shared" si="0"/>
        <v>4.2360856681886343</v>
      </c>
      <c r="I14" s="487">
        <f t="shared" si="0"/>
        <v>4.0721313150582432</v>
      </c>
      <c r="J14" s="487">
        <f t="shared" si="0"/>
        <v>3.949824068939316</v>
      </c>
      <c r="K14" s="487">
        <f t="shared" si="0"/>
        <v>3.8548908796852293</v>
      </c>
      <c r="L14" s="487">
        <f t="shared" si="0"/>
        <v>3.7789626340915738</v>
      </c>
      <c r="M14" s="487">
        <f t="shared" si="0"/>
        <v>3.7167918645973668</v>
      </c>
    </row>
    <row r="15" spans="2:13">
      <c r="B15" s="634"/>
      <c r="C15" s="237">
        <v>11</v>
      </c>
      <c r="D15" s="487">
        <f t="shared" si="1"/>
        <v>6.7241296602391847</v>
      </c>
      <c r="E15" s="487">
        <f t="shared" si="0"/>
        <v>5.2558893119207291</v>
      </c>
      <c r="F15" s="487">
        <f t="shared" si="0"/>
        <v>4.6300249618293439</v>
      </c>
      <c r="G15" s="487">
        <f t="shared" si="0"/>
        <v>4.2750715963366144</v>
      </c>
      <c r="H15" s="487">
        <f t="shared" si="0"/>
        <v>4.0439982220686908</v>
      </c>
      <c r="I15" s="487">
        <f t="shared" si="0"/>
        <v>3.8806511689100489</v>
      </c>
      <c r="J15" s="487">
        <f t="shared" si="0"/>
        <v>3.7586379183800718</v>
      </c>
      <c r="K15" s="487">
        <f t="shared" si="0"/>
        <v>3.6638190342878696</v>
      </c>
      <c r="L15" s="487">
        <f t="shared" si="0"/>
        <v>3.5878986691065449</v>
      </c>
      <c r="M15" s="487">
        <f t="shared" si="0"/>
        <v>3.5256717158880009</v>
      </c>
    </row>
    <row r="16" spans="2:13">
      <c r="B16" s="634"/>
      <c r="C16" s="237">
        <v>12</v>
      </c>
      <c r="D16" s="487">
        <f t="shared" si="1"/>
        <v>6.5537687530056559</v>
      </c>
      <c r="E16" s="487">
        <f t="shared" si="0"/>
        <v>5.0958671657839423</v>
      </c>
      <c r="F16" s="487">
        <f t="shared" si="0"/>
        <v>4.4741848096377463</v>
      </c>
      <c r="G16" s="487">
        <f t="shared" si="0"/>
        <v>4.1212086185234424</v>
      </c>
      <c r="H16" s="487">
        <f t="shared" si="0"/>
        <v>3.8911339339023892</v>
      </c>
      <c r="I16" s="487">
        <f t="shared" si="0"/>
        <v>3.7282921153925082</v>
      </c>
      <c r="J16" s="487">
        <f t="shared" si="0"/>
        <v>3.6065146422204473</v>
      </c>
      <c r="K16" s="487">
        <f t="shared" si="0"/>
        <v>3.5117767363148231</v>
      </c>
      <c r="L16" s="487">
        <f t="shared" si="0"/>
        <v>3.4358456418610581</v>
      </c>
      <c r="M16" s="487">
        <f t="shared" si="0"/>
        <v>3.3735528498353058</v>
      </c>
    </row>
    <row r="17" spans="2:13">
      <c r="B17" s="634"/>
      <c r="C17" s="237">
        <v>13</v>
      </c>
      <c r="D17" s="487">
        <f t="shared" si="1"/>
        <v>6.414254300250585</v>
      </c>
      <c r="E17" s="487">
        <f t="shared" si="0"/>
        <v>4.9652657229043431</v>
      </c>
      <c r="F17" s="487">
        <f t="shared" si="0"/>
        <v>4.3471780827098545</v>
      </c>
      <c r="G17" s="487">
        <f t="shared" si="0"/>
        <v>3.9958975534941668</v>
      </c>
      <c r="H17" s="487">
        <f t="shared" si="0"/>
        <v>3.7666740552333313</v>
      </c>
      <c r="I17" s="487">
        <f t="shared" si="0"/>
        <v>3.6042563940468262</v>
      </c>
      <c r="J17" s="487">
        <f t="shared" si="0"/>
        <v>3.4826693293426567</v>
      </c>
      <c r="K17" s="487">
        <f t="shared" si="0"/>
        <v>3.387987325389608</v>
      </c>
      <c r="L17" s="487">
        <f t="shared" si="0"/>
        <v>3.3120324100531073</v>
      </c>
      <c r="M17" s="487">
        <f t="shared" si="0"/>
        <v>3.249667950133122</v>
      </c>
    </row>
    <row r="18" spans="2:13">
      <c r="B18" s="634"/>
      <c r="C18" s="237">
        <v>14</v>
      </c>
      <c r="D18" s="487">
        <f t="shared" si="1"/>
        <v>6.2979386311029479</v>
      </c>
      <c r="E18" s="487">
        <f t="shared" si="0"/>
        <v>4.8566978606751672</v>
      </c>
      <c r="F18" s="487">
        <f t="shared" si="0"/>
        <v>4.241727630359188</v>
      </c>
      <c r="G18" s="487">
        <f t="shared" si="0"/>
        <v>3.8919144377657129</v>
      </c>
      <c r="H18" s="487">
        <f t="shared" si="0"/>
        <v>3.6634231139830886</v>
      </c>
      <c r="I18" s="487">
        <f t="shared" si="0"/>
        <v>3.5013649360015529</v>
      </c>
      <c r="J18" s="487">
        <f t="shared" si="0"/>
        <v>3.3799328776529314</v>
      </c>
      <c r="K18" s="487">
        <f t="shared" si="0"/>
        <v>3.2852880186245335</v>
      </c>
      <c r="L18" s="487">
        <f t="shared" si="0"/>
        <v>3.2093003408966867</v>
      </c>
      <c r="M18" s="487">
        <f t="shared" si="0"/>
        <v>3.1468611935575752</v>
      </c>
    </row>
    <row r="19" spans="2:13">
      <c r="B19" s="634"/>
      <c r="C19" s="237">
        <v>15</v>
      </c>
      <c r="D19" s="487">
        <f t="shared" si="1"/>
        <v>6.1995009378011057</v>
      </c>
      <c r="E19" s="487">
        <f t="shared" si="0"/>
        <v>4.7650482838882056</v>
      </c>
      <c r="F19" s="487">
        <f t="shared" si="0"/>
        <v>4.1528040300628728</v>
      </c>
      <c r="G19" s="487">
        <f t="shared" si="0"/>
        <v>3.8042713418410128</v>
      </c>
      <c r="H19" s="487">
        <f t="shared" si="0"/>
        <v>3.5764153492790598</v>
      </c>
      <c r="I19" s="487">
        <f t="shared" si="0"/>
        <v>3.414664657735774</v>
      </c>
      <c r="J19" s="487">
        <f t="shared" si="0"/>
        <v>3.2933598137323106</v>
      </c>
      <c r="K19" s="487">
        <f t="shared" si="0"/>
        <v>3.1987380785407584</v>
      </c>
      <c r="L19" s="487">
        <f t="shared" si="0"/>
        <v>3.1227117263033253</v>
      </c>
      <c r="M19" s="487">
        <f t="shared" si="0"/>
        <v>3.0601968514112481</v>
      </c>
    </row>
  </sheetData>
  <mergeCells count="3">
    <mergeCell ref="B3:C4"/>
    <mergeCell ref="D3:M3"/>
    <mergeCell ref="B5:B19"/>
  </mergeCells>
  <phoneticPr fontId="2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B2:G15"/>
  <sheetViews>
    <sheetView workbookViewId="0"/>
  </sheetViews>
  <sheetFormatPr defaultRowHeight="13.2"/>
  <cols>
    <col min="2" max="2" width="13.5546875" bestFit="1" customWidth="1"/>
  </cols>
  <sheetData>
    <row r="2" spans="2:7">
      <c r="B2" s="226"/>
      <c r="C2" s="231" t="s">
        <v>221</v>
      </c>
      <c r="D2" s="231" t="s">
        <v>222</v>
      </c>
      <c r="E2" s="231" t="s">
        <v>223</v>
      </c>
      <c r="F2" s="231" t="s">
        <v>224</v>
      </c>
      <c r="G2" s="231" t="s">
        <v>225</v>
      </c>
    </row>
    <row r="3" spans="2:7">
      <c r="B3" s="226" t="s">
        <v>226</v>
      </c>
      <c r="C3" s="232">
        <v>49</v>
      </c>
      <c r="D3" s="232">
        <v>26</v>
      </c>
      <c r="E3" s="232">
        <v>17</v>
      </c>
      <c r="F3" s="232">
        <v>8</v>
      </c>
      <c r="G3" s="232">
        <f>SUM(C3:F3)</f>
        <v>100</v>
      </c>
    </row>
    <row r="4" spans="2:7">
      <c r="B4" s="226" t="s">
        <v>227</v>
      </c>
      <c r="C4" s="232">
        <v>40</v>
      </c>
      <c r="D4" s="232">
        <v>30</v>
      </c>
      <c r="E4" s="232">
        <v>20</v>
      </c>
      <c r="F4" s="232">
        <v>10</v>
      </c>
      <c r="G4" s="232">
        <f>SUM(C4:F4)</f>
        <v>100</v>
      </c>
    </row>
    <row r="7" spans="2:7">
      <c r="B7" s="237"/>
      <c r="C7" s="240" t="s">
        <v>228</v>
      </c>
      <c r="D7" s="240" t="s">
        <v>229</v>
      </c>
      <c r="E7" s="240" t="s">
        <v>28</v>
      </c>
    </row>
    <row r="8" spans="2:7">
      <c r="B8" s="243" t="s">
        <v>220</v>
      </c>
      <c r="C8" s="242">
        <v>198</v>
      </c>
      <c r="D8" s="242">
        <v>22</v>
      </c>
      <c r="E8" s="241">
        <f>SUM(C8:D8)</f>
        <v>220</v>
      </c>
    </row>
    <row r="9" spans="2:7">
      <c r="B9" s="243" t="s">
        <v>232</v>
      </c>
      <c r="C9" s="242">
        <v>122</v>
      </c>
      <c r="D9" s="242">
        <v>28</v>
      </c>
      <c r="E9" s="241">
        <f>SUM(C9:D9)</f>
        <v>150</v>
      </c>
    </row>
    <row r="10" spans="2:7">
      <c r="B10" s="243" t="s">
        <v>28</v>
      </c>
      <c r="C10" s="241">
        <f>SUM(C8:C9)</f>
        <v>320</v>
      </c>
      <c r="D10" s="241">
        <f t="shared" ref="D10:E10" si="0">SUM(D8:D9)</f>
        <v>50</v>
      </c>
      <c r="E10" s="241">
        <f t="shared" si="0"/>
        <v>370</v>
      </c>
    </row>
    <row r="12" spans="2:7">
      <c r="B12" s="237"/>
      <c r="C12" s="240" t="s">
        <v>228</v>
      </c>
      <c r="D12" s="240" t="s">
        <v>229</v>
      </c>
      <c r="E12" s="240" t="s">
        <v>28</v>
      </c>
    </row>
    <row r="13" spans="2:7">
      <c r="B13" s="243" t="s">
        <v>220</v>
      </c>
      <c r="C13" s="242">
        <f>ROUND(E8*C10/E10,0)</f>
        <v>190</v>
      </c>
      <c r="D13" s="242">
        <f>ROUND(E8*D10/E10,0)</f>
        <v>30</v>
      </c>
      <c r="E13" s="241">
        <f>SUM(C13:D13)</f>
        <v>220</v>
      </c>
    </row>
    <row r="14" spans="2:7">
      <c r="B14" s="243" t="s">
        <v>232</v>
      </c>
      <c r="C14" s="242">
        <f>ROUND(C10*E9/E10,0)</f>
        <v>130</v>
      </c>
      <c r="D14" s="242">
        <f>ROUND(D10*E9/E10,0)</f>
        <v>20</v>
      </c>
      <c r="E14" s="241">
        <f>SUM(C14:D14)</f>
        <v>150</v>
      </c>
    </row>
    <row r="15" spans="2:7">
      <c r="B15" s="243" t="s">
        <v>28</v>
      </c>
      <c r="C15" s="241">
        <f>SUM(C13:C14)</f>
        <v>320</v>
      </c>
      <c r="D15" s="241">
        <f t="shared" ref="D15:E15" si="1">SUM(D13:D14)</f>
        <v>50</v>
      </c>
      <c r="E15" s="241">
        <f t="shared" si="1"/>
        <v>370</v>
      </c>
    </row>
  </sheetData>
  <phoneticPr fontId="2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B2:D8"/>
  <sheetViews>
    <sheetView workbookViewId="0"/>
  </sheetViews>
  <sheetFormatPr defaultRowHeight="13.2"/>
  <sheetData>
    <row r="2" spans="2:4">
      <c r="B2" s="233"/>
      <c r="C2" s="234" t="s">
        <v>233</v>
      </c>
      <c r="D2" s="234" t="s">
        <v>234</v>
      </c>
    </row>
    <row r="3" spans="2:4">
      <c r="B3" s="244">
        <v>1</v>
      </c>
      <c r="C3" s="245">
        <v>38.4</v>
      </c>
      <c r="D3" s="245">
        <v>32.1</v>
      </c>
    </row>
    <row r="4" spans="2:4">
      <c r="B4" s="244">
        <v>2</v>
      </c>
      <c r="C4" s="245">
        <v>40.5</v>
      </c>
      <c r="D4" s="245">
        <v>28.8</v>
      </c>
    </row>
    <row r="5" spans="2:4">
      <c r="B5" s="244">
        <v>3</v>
      </c>
      <c r="C5" s="245">
        <v>36.9</v>
      </c>
      <c r="D5" s="245">
        <v>38.700000000000003</v>
      </c>
    </row>
    <row r="6" spans="2:4">
      <c r="B6" s="244">
        <v>4</v>
      </c>
      <c r="C6" s="245">
        <v>32.200000000000003</v>
      </c>
      <c r="D6" s="245">
        <v>29.6</v>
      </c>
    </row>
    <row r="7" spans="2:4">
      <c r="B7" s="244">
        <v>5</v>
      </c>
      <c r="C7" s="245">
        <v>31.4</v>
      </c>
      <c r="D7" s="248">
        <v>23</v>
      </c>
    </row>
    <row r="8" spans="2:4">
      <c r="B8" s="246" t="s">
        <v>156</v>
      </c>
      <c r="C8" s="247">
        <f>AVERAGE(C3:C7)</f>
        <v>35.880000000000003</v>
      </c>
      <c r="D8" s="249">
        <f>AVERAGE(D3:D7)</f>
        <v>30.440000000000005</v>
      </c>
    </row>
  </sheetData>
  <phoneticPr fontId="2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B1:G14"/>
  <sheetViews>
    <sheetView workbookViewId="0"/>
  </sheetViews>
  <sheetFormatPr defaultRowHeight="13.2"/>
  <sheetData>
    <row r="1" spans="2:7">
      <c r="F1">
        <v>25</v>
      </c>
      <c r="G1">
        <v>25</v>
      </c>
    </row>
    <row r="2" spans="2:7">
      <c r="B2" s="422"/>
      <c r="C2" s="422"/>
      <c r="D2" s="422"/>
      <c r="E2" s="422"/>
      <c r="F2" s="422"/>
      <c r="G2" s="422"/>
    </row>
    <row r="3" spans="2:7">
      <c r="B3" s="422"/>
      <c r="C3" s="635"/>
      <c r="D3" s="637" t="s">
        <v>421</v>
      </c>
      <c r="E3" s="637"/>
      <c r="F3" s="638" t="s">
        <v>422</v>
      </c>
      <c r="G3" s="638"/>
    </row>
    <row r="4" spans="2:7">
      <c r="B4" s="422"/>
      <c r="C4" s="635"/>
      <c r="D4" s="639" t="s">
        <v>423</v>
      </c>
      <c r="E4" s="639"/>
      <c r="F4" s="638" t="s">
        <v>424</v>
      </c>
      <c r="G4" s="638"/>
    </row>
    <row r="5" spans="2:7">
      <c r="B5" s="422"/>
      <c r="C5" s="237"/>
      <c r="D5" s="488" t="s">
        <v>233</v>
      </c>
      <c r="E5" s="488" t="s">
        <v>234</v>
      </c>
      <c r="F5" s="234" t="s">
        <v>233</v>
      </c>
      <c r="G5" s="234" t="s">
        <v>234</v>
      </c>
    </row>
    <row r="6" spans="2:7">
      <c r="B6" s="422"/>
      <c r="C6" s="237">
        <v>1</v>
      </c>
      <c r="D6" s="489">
        <v>38.4</v>
      </c>
      <c r="E6" s="489">
        <v>32.1</v>
      </c>
      <c r="F6" s="242">
        <f>D6-$F$1</f>
        <v>13.399999999999999</v>
      </c>
      <c r="G6" s="242">
        <f>E6-$G$1</f>
        <v>7.1000000000000014</v>
      </c>
    </row>
    <row r="7" spans="2:7">
      <c r="B7" s="422"/>
      <c r="C7" s="237">
        <v>2</v>
      </c>
      <c r="D7" s="489">
        <v>40.5</v>
      </c>
      <c r="E7" s="489">
        <v>28.8</v>
      </c>
      <c r="F7" s="242">
        <f t="shared" ref="F7:F10" si="0">D7-$F$1</f>
        <v>15.5</v>
      </c>
      <c r="G7" s="242">
        <f t="shared" ref="G7:G10" si="1">E7-$G$1</f>
        <v>3.8000000000000007</v>
      </c>
    </row>
    <row r="8" spans="2:7">
      <c r="B8" s="422"/>
      <c r="C8" s="237">
        <v>3</v>
      </c>
      <c r="D8" s="489">
        <v>36.9</v>
      </c>
      <c r="E8" s="489">
        <v>38.700000000000003</v>
      </c>
      <c r="F8" s="242">
        <f t="shared" si="0"/>
        <v>11.899999999999999</v>
      </c>
      <c r="G8" s="242">
        <f t="shared" si="1"/>
        <v>13.700000000000003</v>
      </c>
    </row>
    <row r="9" spans="2:7">
      <c r="B9" s="422"/>
      <c r="C9" s="237">
        <v>4</v>
      </c>
      <c r="D9" s="489">
        <v>32.200000000000003</v>
      </c>
      <c r="E9" s="489">
        <v>29.6</v>
      </c>
      <c r="F9" s="242">
        <f t="shared" si="0"/>
        <v>7.2000000000000028</v>
      </c>
      <c r="G9" s="242">
        <f t="shared" si="1"/>
        <v>4.6000000000000014</v>
      </c>
    </row>
    <row r="10" spans="2:7">
      <c r="B10" s="422"/>
      <c r="C10" s="237">
        <v>5</v>
      </c>
      <c r="D10" s="489">
        <v>31.4</v>
      </c>
      <c r="E10" s="490">
        <v>23</v>
      </c>
      <c r="F10" s="242">
        <f t="shared" si="0"/>
        <v>6.3999999999999986</v>
      </c>
      <c r="G10" s="239">
        <f t="shared" si="1"/>
        <v>-2</v>
      </c>
    </row>
    <row r="11" spans="2:7">
      <c r="B11" s="422"/>
      <c r="C11" s="632" t="s">
        <v>28</v>
      </c>
      <c r="D11" s="8">
        <f>SUM(D6:D10)</f>
        <v>179.4</v>
      </c>
      <c r="E11" s="8">
        <f>SUM(E6:E10)</f>
        <v>152.20000000000002</v>
      </c>
      <c r="F11" s="242">
        <f t="shared" ref="F11:G11" si="2">SUM(F6:F10)</f>
        <v>54.4</v>
      </c>
      <c r="G11" s="242">
        <f t="shared" si="2"/>
        <v>27.200000000000006</v>
      </c>
    </row>
    <row r="12" spans="2:7">
      <c r="B12" s="422"/>
      <c r="C12" s="632"/>
      <c r="D12" s="635">
        <f>SUM(D6:E10)</f>
        <v>331.6</v>
      </c>
      <c r="E12" s="635"/>
      <c r="F12" s="640">
        <f>SUM(F6:G10)</f>
        <v>81.600000000000023</v>
      </c>
      <c r="G12" s="640"/>
    </row>
    <row r="13" spans="2:7">
      <c r="B13" s="422"/>
      <c r="C13" s="632" t="s">
        <v>53</v>
      </c>
      <c r="D13" s="8">
        <f>AVERAGE(D6:D10)</f>
        <v>35.880000000000003</v>
      </c>
      <c r="E13" s="8">
        <f>AVERAGE(E6:E10)</f>
        <v>30.440000000000005</v>
      </c>
      <c r="F13" s="241">
        <f t="shared" ref="F13:G13" si="3">AVERAGE(F6:F10)</f>
        <v>10.879999999999999</v>
      </c>
      <c r="G13" s="241">
        <f t="shared" si="3"/>
        <v>5.4400000000000013</v>
      </c>
    </row>
    <row r="14" spans="2:7">
      <c r="B14" s="422"/>
      <c r="C14" s="632"/>
      <c r="D14" s="635">
        <f>AVERAGE(D6:E10)</f>
        <v>33.160000000000004</v>
      </c>
      <c r="E14" s="635"/>
      <c r="F14" s="636">
        <f>AVERAGE(F6:G10)</f>
        <v>8.1600000000000019</v>
      </c>
      <c r="G14" s="636"/>
    </row>
  </sheetData>
  <mergeCells count="11">
    <mergeCell ref="C13:C14"/>
    <mergeCell ref="D14:E14"/>
    <mergeCell ref="F14:G14"/>
    <mergeCell ref="C3:C4"/>
    <mergeCell ref="D3:E3"/>
    <mergeCell ref="F3:G3"/>
    <mergeCell ref="D4:E4"/>
    <mergeCell ref="F4:G4"/>
    <mergeCell ref="C11:C12"/>
    <mergeCell ref="D12:E12"/>
    <mergeCell ref="F12:G12"/>
  </mergeCells>
  <phoneticPr fontId="2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C1:K14"/>
  <sheetViews>
    <sheetView workbookViewId="0"/>
  </sheetViews>
  <sheetFormatPr defaultRowHeight="13.2"/>
  <sheetData>
    <row r="1" spans="3:11">
      <c r="C1" s="422"/>
      <c r="D1" s="422"/>
      <c r="E1" s="17" t="s">
        <v>425</v>
      </c>
      <c r="F1" s="422">
        <v>25</v>
      </c>
      <c r="G1" s="422">
        <v>25</v>
      </c>
      <c r="H1" s="422"/>
      <c r="I1" s="422"/>
      <c r="J1" s="422"/>
      <c r="K1" s="422"/>
    </row>
    <row r="2" spans="3:11">
      <c r="C2" s="422"/>
      <c r="D2" s="422"/>
      <c r="E2" s="422"/>
      <c r="F2" s="422"/>
      <c r="G2" s="422"/>
      <c r="H2" s="422"/>
      <c r="I2" s="422"/>
      <c r="J2" s="422"/>
      <c r="K2" s="422"/>
    </row>
    <row r="3" spans="3:11">
      <c r="C3" s="635"/>
      <c r="D3" s="637" t="s">
        <v>421</v>
      </c>
      <c r="E3" s="637"/>
      <c r="F3" s="637" t="s">
        <v>422</v>
      </c>
      <c r="G3" s="637"/>
      <c r="H3" s="638" t="s">
        <v>426</v>
      </c>
      <c r="I3" s="638"/>
      <c r="J3" s="638" t="s">
        <v>427</v>
      </c>
      <c r="K3" s="638"/>
    </row>
    <row r="4" spans="3:11">
      <c r="C4" s="635"/>
      <c r="D4" s="639" t="s">
        <v>423</v>
      </c>
      <c r="E4" s="639"/>
      <c r="F4" s="637" t="s">
        <v>424</v>
      </c>
      <c r="G4" s="637"/>
      <c r="H4" s="632" t="s">
        <v>428</v>
      </c>
      <c r="I4" s="632"/>
      <c r="J4" s="632" t="s">
        <v>429</v>
      </c>
      <c r="K4" s="632"/>
    </row>
    <row r="5" spans="3:11">
      <c r="C5" s="237"/>
      <c r="D5" s="488" t="s">
        <v>233</v>
      </c>
      <c r="E5" s="488" t="s">
        <v>234</v>
      </c>
      <c r="F5" s="488" t="s">
        <v>233</v>
      </c>
      <c r="G5" s="488" t="s">
        <v>234</v>
      </c>
      <c r="H5" s="234" t="s">
        <v>233</v>
      </c>
      <c r="I5" s="234" t="s">
        <v>234</v>
      </c>
      <c r="J5" s="234" t="s">
        <v>233</v>
      </c>
      <c r="K5" s="234" t="s">
        <v>234</v>
      </c>
    </row>
    <row r="6" spans="3:11">
      <c r="C6" s="237">
        <v>1</v>
      </c>
      <c r="D6" s="489">
        <v>38.4</v>
      </c>
      <c r="E6" s="489">
        <v>32.1</v>
      </c>
      <c r="F6" s="8">
        <f>D6-$F$1</f>
        <v>13.399999999999999</v>
      </c>
      <c r="G6" s="8">
        <f>E6-$G$1</f>
        <v>7.1000000000000014</v>
      </c>
      <c r="H6" s="237">
        <f>$F$14</f>
        <v>8.1600000000000019</v>
      </c>
      <c r="I6" s="237">
        <f>$F$14</f>
        <v>8.1600000000000019</v>
      </c>
      <c r="J6" s="237">
        <f>F6-H6</f>
        <v>5.2399999999999967</v>
      </c>
      <c r="K6" s="237">
        <f>G6-I6</f>
        <v>-1.0600000000000005</v>
      </c>
    </row>
    <row r="7" spans="3:11">
      <c r="C7" s="237">
        <v>2</v>
      </c>
      <c r="D7" s="489">
        <v>40.5</v>
      </c>
      <c r="E7" s="489">
        <v>28.8</v>
      </c>
      <c r="F7" s="8">
        <f t="shared" ref="F7:F10" si="0">D7-$F$1</f>
        <v>15.5</v>
      </c>
      <c r="G7" s="8">
        <f t="shared" ref="G7:G10" si="1">E7-$G$1</f>
        <v>3.8000000000000007</v>
      </c>
      <c r="H7" s="237">
        <f t="shared" ref="H7:I10" si="2">$F$14</f>
        <v>8.1600000000000019</v>
      </c>
      <c r="I7" s="237">
        <f t="shared" si="2"/>
        <v>8.1600000000000019</v>
      </c>
      <c r="J7" s="237">
        <f t="shared" ref="J7:K10" si="3">F7-H7</f>
        <v>7.3399999999999981</v>
      </c>
      <c r="K7" s="237">
        <f t="shared" si="3"/>
        <v>-4.3600000000000012</v>
      </c>
    </row>
    <row r="8" spans="3:11">
      <c r="C8" s="237">
        <v>3</v>
      </c>
      <c r="D8" s="489">
        <v>36.9</v>
      </c>
      <c r="E8" s="489">
        <v>38.700000000000003</v>
      </c>
      <c r="F8" s="8">
        <f t="shared" si="0"/>
        <v>11.899999999999999</v>
      </c>
      <c r="G8" s="8">
        <f t="shared" si="1"/>
        <v>13.700000000000003</v>
      </c>
      <c r="H8" s="237">
        <f t="shared" si="2"/>
        <v>8.1600000000000019</v>
      </c>
      <c r="I8" s="237">
        <f t="shared" si="2"/>
        <v>8.1600000000000019</v>
      </c>
      <c r="J8" s="237">
        <f t="shared" si="3"/>
        <v>3.7399999999999967</v>
      </c>
      <c r="K8" s="237">
        <f t="shared" si="3"/>
        <v>5.5400000000000009</v>
      </c>
    </row>
    <row r="9" spans="3:11">
      <c r="C9" s="237">
        <v>4</v>
      </c>
      <c r="D9" s="489">
        <v>32.200000000000003</v>
      </c>
      <c r="E9" s="489">
        <v>29.6</v>
      </c>
      <c r="F9" s="8">
        <f t="shared" si="0"/>
        <v>7.2000000000000028</v>
      </c>
      <c r="G9" s="8">
        <f t="shared" si="1"/>
        <v>4.6000000000000014</v>
      </c>
      <c r="H9" s="237">
        <f t="shared" si="2"/>
        <v>8.1600000000000019</v>
      </c>
      <c r="I9" s="237">
        <f t="shared" si="2"/>
        <v>8.1600000000000019</v>
      </c>
      <c r="J9" s="237">
        <f t="shared" si="3"/>
        <v>-0.95999999999999908</v>
      </c>
      <c r="K9" s="237">
        <f t="shared" si="3"/>
        <v>-3.5600000000000005</v>
      </c>
    </row>
    <row r="10" spans="3:11">
      <c r="C10" s="237">
        <v>5</v>
      </c>
      <c r="D10" s="489">
        <v>31.4</v>
      </c>
      <c r="E10" s="490">
        <v>23</v>
      </c>
      <c r="F10" s="8">
        <f t="shared" si="0"/>
        <v>6.3999999999999986</v>
      </c>
      <c r="G10" s="100">
        <f t="shared" si="1"/>
        <v>-2</v>
      </c>
      <c r="H10" s="237">
        <f t="shared" si="2"/>
        <v>8.1600000000000019</v>
      </c>
      <c r="I10" s="237">
        <f t="shared" si="2"/>
        <v>8.1600000000000019</v>
      </c>
      <c r="J10" s="237">
        <f t="shared" si="3"/>
        <v>-1.7600000000000033</v>
      </c>
      <c r="K10" s="237">
        <f t="shared" si="3"/>
        <v>-10.160000000000002</v>
      </c>
    </row>
    <row r="11" spans="3:11">
      <c r="C11" s="632" t="s">
        <v>28</v>
      </c>
      <c r="D11" s="8">
        <f>SUM(D6:D10)</f>
        <v>179.4</v>
      </c>
      <c r="E11" s="8">
        <f>SUM(E6:E10)</f>
        <v>152.20000000000002</v>
      </c>
      <c r="F11" s="8">
        <f t="shared" ref="F11:K11" si="4">SUM(F6:F10)</f>
        <v>54.4</v>
      </c>
      <c r="G11" s="8">
        <f t="shared" si="4"/>
        <v>27.200000000000006</v>
      </c>
      <c r="H11" s="237">
        <f t="shared" si="4"/>
        <v>40.800000000000011</v>
      </c>
      <c r="I11" s="237">
        <f t="shared" si="4"/>
        <v>40.800000000000011</v>
      </c>
      <c r="J11" s="237">
        <f t="shared" si="4"/>
        <v>13.599999999999991</v>
      </c>
      <c r="K11" s="237">
        <f t="shared" si="4"/>
        <v>-13.600000000000003</v>
      </c>
    </row>
    <row r="12" spans="3:11">
      <c r="C12" s="632"/>
      <c r="D12" s="635">
        <f>SUM(D6:E10)</f>
        <v>331.6</v>
      </c>
      <c r="E12" s="635"/>
      <c r="F12" s="635">
        <f>SUM(F6:G10)</f>
        <v>81.600000000000023</v>
      </c>
      <c r="G12" s="635"/>
      <c r="H12" s="632">
        <f>SUM(H6:I10)</f>
        <v>81.600000000000009</v>
      </c>
      <c r="I12" s="632"/>
      <c r="J12" s="641">
        <f>SUM(J6:K10)</f>
        <v>-1.4210854715202004E-14</v>
      </c>
      <c r="K12" s="641"/>
    </row>
    <row r="13" spans="3:11">
      <c r="C13" s="632" t="s">
        <v>53</v>
      </c>
      <c r="D13" s="8">
        <f>AVERAGE(D6:D10)</f>
        <v>35.880000000000003</v>
      </c>
      <c r="E13" s="8">
        <f>AVERAGE(E6:E10)</f>
        <v>30.440000000000005</v>
      </c>
      <c r="F13" s="8">
        <f t="shared" ref="F13:K13" si="5">AVERAGE(F6:F10)</f>
        <v>10.879999999999999</v>
      </c>
      <c r="G13" s="8">
        <f t="shared" si="5"/>
        <v>5.4400000000000013</v>
      </c>
      <c r="H13" s="237">
        <f t="shared" si="5"/>
        <v>8.1600000000000019</v>
      </c>
      <c r="I13" s="237">
        <f t="shared" si="5"/>
        <v>8.1600000000000019</v>
      </c>
      <c r="J13" s="237">
        <f t="shared" si="5"/>
        <v>2.719999999999998</v>
      </c>
      <c r="K13" s="237">
        <f t="shared" si="5"/>
        <v>-2.7200000000000006</v>
      </c>
    </row>
    <row r="14" spans="3:11">
      <c r="C14" s="632"/>
      <c r="D14" s="635">
        <f>AVERAGE(D6:E10)</f>
        <v>33.160000000000004</v>
      </c>
      <c r="E14" s="635"/>
      <c r="F14" s="635">
        <f>AVERAGE(F6:G10)</f>
        <v>8.1600000000000019</v>
      </c>
      <c r="G14" s="635"/>
      <c r="H14" s="632">
        <f>AVERAGE(H6:I10)</f>
        <v>8.16</v>
      </c>
      <c r="I14" s="632"/>
      <c r="J14" s="641">
        <f>AVERAGE(J6:K10)</f>
        <v>-1.4210854715202005E-15</v>
      </c>
      <c r="K14" s="641"/>
    </row>
  </sheetData>
  <mergeCells count="19">
    <mergeCell ref="C3:C4"/>
    <mergeCell ref="D3:E3"/>
    <mergeCell ref="F3:G3"/>
    <mergeCell ref="H3:I3"/>
    <mergeCell ref="J3:K3"/>
    <mergeCell ref="D4:E4"/>
    <mergeCell ref="F4:G4"/>
    <mergeCell ref="H4:I4"/>
    <mergeCell ref="J4:K4"/>
    <mergeCell ref="C13:C14"/>
    <mergeCell ref="D14:E14"/>
    <mergeCell ref="F14:G14"/>
    <mergeCell ref="H14:I14"/>
    <mergeCell ref="J14:K14"/>
    <mergeCell ref="C11:C12"/>
    <mergeCell ref="D12:E12"/>
    <mergeCell ref="F12:G12"/>
    <mergeCell ref="H12:I12"/>
    <mergeCell ref="J12:K12"/>
  </mergeCells>
  <phoneticPr fontId="2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C3:O12"/>
  <sheetViews>
    <sheetView workbookViewId="0"/>
  </sheetViews>
  <sheetFormatPr defaultRowHeight="13.2"/>
  <sheetData>
    <row r="3" spans="3:15">
      <c r="C3" s="635"/>
      <c r="D3" s="637" t="s">
        <v>365</v>
      </c>
      <c r="E3" s="637"/>
      <c r="F3" s="637" t="s">
        <v>367</v>
      </c>
      <c r="G3" s="637"/>
      <c r="H3" s="637" t="s">
        <v>369</v>
      </c>
      <c r="I3" s="646"/>
      <c r="J3" s="638" t="s">
        <v>430</v>
      </c>
      <c r="K3" s="638"/>
      <c r="L3" s="638" t="s">
        <v>431</v>
      </c>
      <c r="M3" s="638"/>
      <c r="N3" s="638" t="s">
        <v>394</v>
      </c>
      <c r="O3" s="638"/>
    </row>
    <row r="4" spans="3:15">
      <c r="C4" s="635"/>
      <c r="D4" s="8" t="s">
        <v>424</v>
      </c>
      <c r="E4" s="8"/>
      <c r="F4" s="635" t="s">
        <v>428</v>
      </c>
      <c r="G4" s="635"/>
      <c r="H4" s="635" t="s">
        <v>429</v>
      </c>
      <c r="I4" s="645"/>
      <c r="J4" s="632" t="s">
        <v>414</v>
      </c>
      <c r="K4" s="632"/>
      <c r="L4" s="632" t="s">
        <v>432</v>
      </c>
      <c r="M4" s="632"/>
      <c r="N4" s="632" t="s">
        <v>433</v>
      </c>
      <c r="O4" s="632"/>
    </row>
    <row r="5" spans="3:15">
      <c r="C5" s="237"/>
      <c r="D5" s="334" t="s">
        <v>233</v>
      </c>
      <c r="E5" s="334" t="s">
        <v>434</v>
      </c>
      <c r="F5" s="334" t="s">
        <v>233</v>
      </c>
      <c r="G5" s="334" t="s">
        <v>434</v>
      </c>
      <c r="H5" s="334" t="s">
        <v>233</v>
      </c>
      <c r="I5" s="491" t="s">
        <v>434</v>
      </c>
      <c r="J5" s="243" t="s">
        <v>233</v>
      </c>
      <c r="K5" s="243" t="s">
        <v>434</v>
      </c>
      <c r="L5" s="243" t="s">
        <v>233</v>
      </c>
      <c r="M5" s="243" t="s">
        <v>434</v>
      </c>
      <c r="N5" s="243" t="s">
        <v>233</v>
      </c>
      <c r="O5" s="243" t="s">
        <v>434</v>
      </c>
    </row>
    <row r="6" spans="3:15">
      <c r="C6" s="237">
        <v>1</v>
      </c>
      <c r="D6" s="8">
        <v>13.399999999999999</v>
      </c>
      <c r="E6" s="8">
        <v>7.1000000000000014</v>
      </c>
      <c r="F6" s="8">
        <v>8.1600000000000019</v>
      </c>
      <c r="G6" s="8">
        <v>8.1600000000000019</v>
      </c>
      <c r="H6" s="8">
        <v>5.2399999999999967</v>
      </c>
      <c r="I6" s="313">
        <v>-1.0600000000000005</v>
      </c>
      <c r="J6" s="487">
        <f>ROUND(D6^2,3)</f>
        <v>179.56</v>
      </c>
      <c r="K6" s="487">
        <f t="shared" ref="K6:K10" si="0">ROUND(E6^2,3)</f>
        <v>50.41</v>
      </c>
      <c r="L6" s="487">
        <f>ROUND(F6^2,4)</f>
        <v>66.585599999999999</v>
      </c>
      <c r="M6" s="487">
        <f t="shared" ref="M6:O10" si="1">ROUND(G6^2,4)</f>
        <v>66.585599999999999</v>
      </c>
      <c r="N6" s="487">
        <f t="shared" si="1"/>
        <v>27.457599999999999</v>
      </c>
      <c r="O6" s="487">
        <f t="shared" si="1"/>
        <v>1.1235999999999999</v>
      </c>
    </row>
    <row r="7" spans="3:15">
      <c r="C7" s="237">
        <v>2</v>
      </c>
      <c r="D7" s="8">
        <v>15.5</v>
      </c>
      <c r="E7" s="8">
        <v>3.8000000000000007</v>
      </c>
      <c r="F7" s="8">
        <v>8.1600000000000019</v>
      </c>
      <c r="G7" s="8">
        <v>8.1600000000000019</v>
      </c>
      <c r="H7" s="8">
        <v>7.3399999999999981</v>
      </c>
      <c r="I7" s="313">
        <v>-4.3600000000000012</v>
      </c>
      <c r="J7" s="487">
        <f t="shared" ref="J7:J10" si="2">ROUND(D7^2,3)</f>
        <v>240.25</v>
      </c>
      <c r="K7" s="487">
        <f t="shared" si="0"/>
        <v>14.44</v>
      </c>
      <c r="L7" s="487">
        <f t="shared" ref="L7:L10" si="3">ROUND(F7^2,4)</f>
        <v>66.585599999999999</v>
      </c>
      <c r="M7" s="487">
        <f t="shared" si="1"/>
        <v>66.585599999999999</v>
      </c>
      <c r="N7" s="487">
        <f t="shared" si="1"/>
        <v>53.875599999999999</v>
      </c>
      <c r="O7" s="487">
        <f t="shared" si="1"/>
        <v>19.009599999999999</v>
      </c>
    </row>
    <row r="8" spans="3:15">
      <c r="C8" s="237">
        <v>3</v>
      </c>
      <c r="D8" s="8">
        <v>11.899999999999999</v>
      </c>
      <c r="E8" s="8">
        <v>13.700000000000003</v>
      </c>
      <c r="F8" s="8">
        <v>8.1600000000000019</v>
      </c>
      <c r="G8" s="8">
        <v>8.1600000000000019</v>
      </c>
      <c r="H8" s="8">
        <v>3.7399999999999967</v>
      </c>
      <c r="I8" s="313">
        <v>5.5400000000000009</v>
      </c>
      <c r="J8" s="487">
        <f t="shared" si="2"/>
        <v>141.61000000000001</v>
      </c>
      <c r="K8" s="487">
        <f t="shared" si="0"/>
        <v>187.69</v>
      </c>
      <c r="L8" s="487">
        <f t="shared" si="3"/>
        <v>66.585599999999999</v>
      </c>
      <c r="M8" s="487">
        <f t="shared" si="1"/>
        <v>66.585599999999999</v>
      </c>
      <c r="N8" s="487">
        <f t="shared" si="1"/>
        <v>13.9876</v>
      </c>
      <c r="O8" s="487">
        <f t="shared" si="1"/>
        <v>30.691600000000001</v>
      </c>
    </row>
    <row r="9" spans="3:15">
      <c r="C9" s="237">
        <v>4</v>
      </c>
      <c r="D9" s="8">
        <v>7.2000000000000028</v>
      </c>
      <c r="E9" s="8">
        <v>4.6000000000000014</v>
      </c>
      <c r="F9" s="8">
        <v>8.1600000000000019</v>
      </c>
      <c r="G9" s="8">
        <v>8.1600000000000019</v>
      </c>
      <c r="H9" s="8">
        <v>-0.95999999999999908</v>
      </c>
      <c r="I9" s="313">
        <v>-3.5600000000000005</v>
      </c>
      <c r="J9" s="487">
        <f t="shared" si="2"/>
        <v>51.84</v>
      </c>
      <c r="K9" s="487">
        <f t="shared" si="0"/>
        <v>21.16</v>
      </c>
      <c r="L9" s="487">
        <f t="shared" si="3"/>
        <v>66.585599999999999</v>
      </c>
      <c r="M9" s="487">
        <f t="shared" si="1"/>
        <v>66.585599999999999</v>
      </c>
      <c r="N9" s="487">
        <f t="shared" si="1"/>
        <v>0.92159999999999997</v>
      </c>
      <c r="O9" s="487">
        <f t="shared" si="1"/>
        <v>12.6736</v>
      </c>
    </row>
    <row r="10" spans="3:15">
      <c r="C10" s="237">
        <v>5</v>
      </c>
      <c r="D10" s="8">
        <v>6.3999999999999986</v>
      </c>
      <c r="E10" s="8">
        <v>-2</v>
      </c>
      <c r="F10" s="8">
        <v>8.1600000000000019</v>
      </c>
      <c r="G10" s="8">
        <v>8.1600000000000019</v>
      </c>
      <c r="H10" s="8">
        <v>-1.7600000000000033</v>
      </c>
      <c r="I10" s="313">
        <v>-10.160000000000002</v>
      </c>
      <c r="J10" s="487">
        <f t="shared" si="2"/>
        <v>40.96</v>
      </c>
      <c r="K10" s="487">
        <f t="shared" si="0"/>
        <v>4</v>
      </c>
      <c r="L10" s="487">
        <f t="shared" si="3"/>
        <v>66.585599999999999</v>
      </c>
      <c r="M10" s="487">
        <f t="shared" si="1"/>
        <v>66.585599999999999</v>
      </c>
      <c r="N10" s="487">
        <f t="shared" si="1"/>
        <v>3.0975999999999999</v>
      </c>
      <c r="O10" s="487">
        <f t="shared" si="1"/>
        <v>103.2256</v>
      </c>
    </row>
    <row r="11" spans="3:15">
      <c r="C11" s="632" t="s">
        <v>28</v>
      </c>
      <c r="D11" s="8">
        <v>54.4</v>
      </c>
      <c r="E11" s="8">
        <v>27.200000000000006</v>
      </c>
      <c r="F11" s="8">
        <v>40.800000000000011</v>
      </c>
      <c r="G11" s="8">
        <v>40.800000000000011</v>
      </c>
      <c r="H11" s="8">
        <v>13.599999999999991</v>
      </c>
      <c r="I11" s="313">
        <v>-13.600000000000003</v>
      </c>
      <c r="J11" s="492">
        <f t="shared" ref="J11:O11" si="4">SUM(J6:J10)</f>
        <v>654.22000000000014</v>
      </c>
      <c r="K11" s="492">
        <f t="shared" si="4"/>
        <v>277.7</v>
      </c>
      <c r="L11" s="492">
        <f t="shared" si="4"/>
        <v>332.928</v>
      </c>
      <c r="M11" s="492">
        <f t="shared" si="4"/>
        <v>332.928</v>
      </c>
      <c r="N11" s="241">
        <f t="shared" si="4"/>
        <v>99.34</v>
      </c>
      <c r="O11" s="241">
        <f t="shared" si="4"/>
        <v>166.72399999999999</v>
      </c>
    </row>
    <row r="12" spans="3:15">
      <c r="C12" s="632"/>
      <c r="D12" s="635">
        <v>81.600000000000023</v>
      </c>
      <c r="E12" s="635"/>
      <c r="F12" s="635">
        <v>81.600000000000009</v>
      </c>
      <c r="G12" s="635"/>
      <c r="H12" s="643">
        <v>-1.4210854715202004E-14</v>
      </c>
      <c r="I12" s="644"/>
      <c r="J12" s="642">
        <f>SUM(J6:K10)</f>
        <v>931.92000000000007</v>
      </c>
      <c r="K12" s="642"/>
      <c r="L12" s="642">
        <f>SUM(L6:M10)</f>
        <v>665.85599999999999</v>
      </c>
      <c r="M12" s="642"/>
      <c r="N12" s="642">
        <f>SUM(N6:O10)</f>
        <v>266.06400000000002</v>
      </c>
      <c r="O12" s="642"/>
    </row>
  </sheetData>
  <mergeCells count="19">
    <mergeCell ref="C3:C4"/>
    <mergeCell ref="D3:E3"/>
    <mergeCell ref="F3:G3"/>
    <mergeCell ref="H3:I3"/>
    <mergeCell ref="J3:K3"/>
    <mergeCell ref="N3:O3"/>
    <mergeCell ref="F4:G4"/>
    <mergeCell ref="H4:I4"/>
    <mergeCell ref="J4:K4"/>
    <mergeCell ref="L4:M4"/>
    <mergeCell ref="N4:O4"/>
    <mergeCell ref="L3:M3"/>
    <mergeCell ref="N12:O12"/>
    <mergeCell ref="C11:C12"/>
    <mergeCell ref="D12:E12"/>
    <mergeCell ref="F12:G12"/>
    <mergeCell ref="H12:I12"/>
    <mergeCell ref="J12:K12"/>
    <mergeCell ref="L12:M12"/>
  </mergeCells>
  <phoneticPr fontId="2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C1:O14"/>
  <sheetViews>
    <sheetView workbookViewId="0"/>
  </sheetViews>
  <sheetFormatPr defaultRowHeight="13.2"/>
  <sheetData>
    <row r="1" spans="3:15">
      <c r="C1" s="422"/>
      <c r="D1" s="422"/>
      <c r="E1" s="17" t="s">
        <v>425</v>
      </c>
      <c r="F1" s="422">
        <v>25</v>
      </c>
      <c r="G1" s="422">
        <v>25</v>
      </c>
      <c r="H1" s="422"/>
      <c r="I1" s="422"/>
      <c r="J1" s="422"/>
      <c r="K1" s="422"/>
      <c r="L1" s="422"/>
      <c r="M1" s="422"/>
      <c r="N1" s="422"/>
      <c r="O1" s="422"/>
    </row>
    <row r="2" spans="3:15"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3:15">
      <c r="C3" s="635"/>
      <c r="D3" s="637" t="s">
        <v>421</v>
      </c>
      <c r="E3" s="637"/>
      <c r="F3" s="637" t="s">
        <v>422</v>
      </c>
      <c r="G3" s="637"/>
      <c r="H3" s="637" t="s">
        <v>426</v>
      </c>
      <c r="I3" s="637"/>
      <c r="J3" s="637" t="s">
        <v>427</v>
      </c>
      <c r="K3" s="637"/>
      <c r="L3" s="649" t="s">
        <v>435</v>
      </c>
      <c r="M3" s="649"/>
      <c r="N3" s="638" t="s">
        <v>436</v>
      </c>
      <c r="O3" s="638"/>
    </row>
    <row r="4" spans="3:15">
      <c r="C4" s="635"/>
      <c r="D4" s="639" t="s">
        <v>423</v>
      </c>
      <c r="E4" s="639"/>
      <c r="F4" s="637" t="s">
        <v>424</v>
      </c>
      <c r="G4" s="637"/>
      <c r="H4" s="635" t="s">
        <v>428</v>
      </c>
      <c r="I4" s="635"/>
      <c r="J4" s="635" t="s">
        <v>429</v>
      </c>
      <c r="K4" s="635"/>
      <c r="L4" s="632" t="s">
        <v>437</v>
      </c>
      <c r="M4" s="632"/>
      <c r="N4" s="632" t="s">
        <v>438</v>
      </c>
      <c r="O4" s="632"/>
    </row>
    <row r="5" spans="3:15">
      <c r="C5" s="237"/>
      <c r="D5" s="488" t="s">
        <v>233</v>
      </c>
      <c r="E5" s="488" t="s">
        <v>234</v>
      </c>
      <c r="F5" s="488" t="s">
        <v>233</v>
      </c>
      <c r="G5" s="488" t="s">
        <v>234</v>
      </c>
      <c r="H5" s="488" t="s">
        <v>233</v>
      </c>
      <c r="I5" s="488" t="s">
        <v>234</v>
      </c>
      <c r="J5" s="488" t="s">
        <v>233</v>
      </c>
      <c r="K5" s="488" t="s">
        <v>234</v>
      </c>
      <c r="L5" s="234" t="s">
        <v>233</v>
      </c>
      <c r="M5" s="234" t="s">
        <v>234</v>
      </c>
      <c r="N5" s="234" t="s">
        <v>233</v>
      </c>
      <c r="O5" s="234" t="s">
        <v>234</v>
      </c>
    </row>
    <row r="6" spans="3:15">
      <c r="C6" s="237">
        <v>1</v>
      </c>
      <c r="D6" s="489">
        <v>38.4</v>
      </c>
      <c r="E6" s="489">
        <v>32.1</v>
      </c>
      <c r="F6" s="8">
        <f>D6-$F$1</f>
        <v>13.399999999999999</v>
      </c>
      <c r="G6" s="8">
        <f>E6-$G$1</f>
        <v>7.1000000000000014</v>
      </c>
      <c r="H6" s="8">
        <f>$F$14</f>
        <v>8.1600000000000019</v>
      </c>
      <c r="I6" s="8">
        <f>$F$14</f>
        <v>8.1600000000000019</v>
      </c>
      <c r="J6" s="8">
        <f>F6-H6</f>
        <v>5.2399999999999967</v>
      </c>
      <c r="K6" s="8">
        <f>G6-I6</f>
        <v>-1.0600000000000005</v>
      </c>
      <c r="L6" s="242">
        <f>$F$13-$F$14</f>
        <v>2.7199999999999971</v>
      </c>
      <c r="M6" s="242">
        <f>$G$13-$F$14</f>
        <v>-2.7200000000000006</v>
      </c>
      <c r="N6" s="242">
        <f>J6-L6</f>
        <v>2.5199999999999996</v>
      </c>
      <c r="O6" s="242">
        <f>K6-M6</f>
        <v>1.6600000000000001</v>
      </c>
    </row>
    <row r="7" spans="3:15">
      <c r="C7" s="237">
        <v>2</v>
      </c>
      <c r="D7" s="489">
        <v>40.5</v>
      </c>
      <c r="E7" s="489">
        <v>28.8</v>
      </c>
      <c r="F7" s="8">
        <f t="shared" ref="F7:F10" si="0">D7-$F$1</f>
        <v>15.5</v>
      </c>
      <c r="G7" s="8">
        <f t="shared" ref="G7:G10" si="1">E7-$G$1</f>
        <v>3.8000000000000007</v>
      </c>
      <c r="H7" s="8">
        <f t="shared" ref="H7:I10" si="2">$F$14</f>
        <v>8.1600000000000019</v>
      </c>
      <c r="I7" s="8">
        <f t="shared" si="2"/>
        <v>8.1600000000000019</v>
      </c>
      <c r="J7" s="8">
        <f t="shared" ref="J7:K10" si="3">F7-H7</f>
        <v>7.3399999999999981</v>
      </c>
      <c r="K7" s="8">
        <f t="shared" si="3"/>
        <v>-4.3600000000000012</v>
      </c>
      <c r="L7" s="242">
        <f t="shared" ref="L7:L10" si="4">$F$13-$F$14</f>
        <v>2.7199999999999971</v>
      </c>
      <c r="M7" s="242">
        <f t="shared" ref="M7:M10" si="5">$G$13-$F$14</f>
        <v>-2.7200000000000006</v>
      </c>
      <c r="N7" s="242">
        <f t="shared" ref="N7:O10" si="6">J7-L7</f>
        <v>4.620000000000001</v>
      </c>
      <c r="O7" s="242">
        <f t="shared" si="6"/>
        <v>-1.6400000000000006</v>
      </c>
    </row>
    <row r="8" spans="3:15">
      <c r="C8" s="237">
        <v>3</v>
      </c>
      <c r="D8" s="489">
        <v>36.9</v>
      </c>
      <c r="E8" s="489">
        <v>38.700000000000003</v>
      </c>
      <c r="F8" s="8">
        <f t="shared" si="0"/>
        <v>11.899999999999999</v>
      </c>
      <c r="G8" s="8">
        <f t="shared" si="1"/>
        <v>13.700000000000003</v>
      </c>
      <c r="H8" s="8">
        <f t="shared" si="2"/>
        <v>8.1600000000000019</v>
      </c>
      <c r="I8" s="8">
        <f t="shared" si="2"/>
        <v>8.1600000000000019</v>
      </c>
      <c r="J8" s="8">
        <f t="shared" si="3"/>
        <v>3.7399999999999967</v>
      </c>
      <c r="K8" s="8">
        <f t="shared" si="3"/>
        <v>5.5400000000000009</v>
      </c>
      <c r="L8" s="242">
        <f t="shared" si="4"/>
        <v>2.7199999999999971</v>
      </c>
      <c r="M8" s="242">
        <f t="shared" si="5"/>
        <v>-2.7200000000000006</v>
      </c>
      <c r="N8" s="242">
        <f t="shared" si="6"/>
        <v>1.0199999999999996</v>
      </c>
      <c r="O8" s="242">
        <f t="shared" si="6"/>
        <v>8.2600000000000016</v>
      </c>
    </row>
    <row r="9" spans="3:15">
      <c r="C9" s="237">
        <v>4</v>
      </c>
      <c r="D9" s="489">
        <v>32.200000000000003</v>
      </c>
      <c r="E9" s="489">
        <v>29.6</v>
      </c>
      <c r="F9" s="8">
        <f t="shared" si="0"/>
        <v>7.2000000000000028</v>
      </c>
      <c r="G9" s="8">
        <f t="shared" si="1"/>
        <v>4.6000000000000014</v>
      </c>
      <c r="H9" s="8">
        <f t="shared" si="2"/>
        <v>8.1600000000000019</v>
      </c>
      <c r="I9" s="8">
        <f t="shared" si="2"/>
        <v>8.1600000000000019</v>
      </c>
      <c r="J9" s="8">
        <f t="shared" si="3"/>
        <v>-0.95999999999999908</v>
      </c>
      <c r="K9" s="8">
        <f t="shared" si="3"/>
        <v>-3.5600000000000005</v>
      </c>
      <c r="L9" s="242">
        <f t="shared" si="4"/>
        <v>2.7199999999999971</v>
      </c>
      <c r="M9" s="242">
        <f t="shared" si="5"/>
        <v>-2.7200000000000006</v>
      </c>
      <c r="N9" s="242">
        <f t="shared" si="6"/>
        <v>-3.6799999999999962</v>
      </c>
      <c r="O9" s="242">
        <f t="shared" si="6"/>
        <v>-0.83999999999999986</v>
      </c>
    </row>
    <row r="10" spans="3:15">
      <c r="C10" s="237">
        <v>5</v>
      </c>
      <c r="D10" s="489">
        <v>31.4</v>
      </c>
      <c r="E10" s="490">
        <v>23</v>
      </c>
      <c r="F10" s="8">
        <f t="shared" si="0"/>
        <v>6.3999999999999986</v>
      </c>
      <c r="G10" s="100">
        <f t="shared" si="1"/>
        <v>-2</v>
      </c>
      <c r="H10" s="8">
        <f t="shared" si="2"/>
        <v>8.1600000000000019</v>
      </c>
      <c r="I10" s="8">
        <f t="shared" si="2"/>
        <v>8.1600000000000019</v>
      </c>
      <c r="J10" s="8">
        <f t="shared" si="3"/>
        <v>-1.7600000000000033</v>
      </c>
      <c r="K10" s="8">
        <f t="shared" si="3"/>
        <v>-10.160000000000002</v>
      </c>
      <c r="L10" s="242">
        <f t="shared" si="4"/>
        <v>2.7199999999999971</v>
      </c>
      <c r="M10" s="242">
        <f t="shared" si="5"/>
        <v>-2.7200000000000006</v>
      </c>
      <c r="N10" s="242">
        <f t="shared" si="6"/>
        <v>-4.4800000000000004</v>
      </c>
      <c r="O10" s="242">
        <f t="shared" si="6"/>
        <v>-7.4400000000000013</v>
      </c>
    </row>
    <row r="11" spans="3:15">
      <c r="C11" s="632" t="s">
        <v>28</v>
      </c>
      <c r="D11" s="8">
        <f>SUM(D6:D10)</f>
        <v>179.4</v>
      </c>
      <c r="E11" s="8">
        <f>SUM(E6:E10)</f>
        <v>152.20000000000002</v>
      </c>
      <c r="F11" s="8">
        <f t="shared" ref="F11:O11" si="7">SUM(F6:F10)</f>
        <v>54.4</v>
      </c>
      <c r="G11" s="8">
        <f t="shared" si="7"/>
        <v>27.200000000000006</v>
      </c>
      <c r="H11" s="8">
        <f t="shared" si="7"/>
        <v>40.800000000000011</v>
      </c>
      <c r="I11" s="8">
        <f t="shared" si="7"/>
        <v>40.800000000000011</v>
      </c>
      <c r="J11" s="8">
        <f t="shared" si="7"/>
        <v>13.599999999999991</v>
      </c>
      <c r="K11" s="8">
        <f t="shared" si="7"/>
        <v>-13.600000000000003</v>
      </c>
      <c r="L11" s="242">
        <f t="shared" si="7"/>
        <v>13.599999999999985</v>
      </c>
      <c r="M11" s="242">
        <f t="shared" si="7"/>
        <v>-13.600000000000003</v>
      </c>
      <c r="N11" s="242">
        <f t="shared" si="7"/>
        <v>0</v>
      </c>
      <c r="O11" s="242">
        <f t="shared" si="7"/>
        <v>0</v>
      </c>
    </row>
    <row r="12" spans="3:15">
      <c r="C12" s="632"/>
      <c r="D12" s="635">
        <f>SUM(D6:E10)</f>
        <v>331.6</v>
      </c>
      <c r="E12" s="635"/>
      <c r="F12" s="635">
        <f>SUM(F6:G10)</f>
        <v>81.600000000000023</v>
      </c>
      <c r="G12" s="635"/>
      <c r="H12" s="635">
        <f>SUM(H6:I10)</f>
        <v>81.600000000000009</v>
      </c>
      <c r="I12" s="635"/>
      <c r="J12" s="643">
        <f>SUM(J6:K10)</f>
        <v>-1.4210854715202004E-14</v>
      </c>
      <c r="K12" s="643"/>
      <c r="L12" s="647">
        <f>SUM(L6:M10)</f>
        <v>-1.7763568394002505E-14</v>
      </c>
      <c r="M12" s="647"/>
      <c r="N12" s="647">
        <f>SUM(N6:O10)</f>
        <v>0</v>
      </c>
      <c r="O12" s="647"/>
    </row>
    <row r="13" spans="3:15">
      <c r="C13" s="632" t="s">
        <v>53</v>
      </c>
      <c r="D13" s="8">
        <f>AVERAGE(D6:D10)</f>
        <v>35.880000000000003</v>
      </c>
      <c r="E13" s="8">
        <f>AVERAGE(E6:E10)</f>
        <v>30.440000000000005</v>
      </c>
      <c r="F13" s="8">
        <f t="shared" ref="F13:O13" si="8">AVERAGE(F6:F10)</f>
        <v>10.879999999999999</v>
      </c>
      <c r="G13" s="8">
        <f t="shared" si="8"/>
        <v>5.4400000000000013</v>
      </c>
      <c r="H13" s="8">
        <f t="shared" si="8"/>
        <v>8.1600000000000019</v>
      </c>
      <c r="I13" s="8">
        <f t="shared" si="8"/>
        <v>8.1600000000000019</v>
      </c>
      <c r="J13" s="8">
        <f t="shared" si="8"/>
        <v>2.719999999999998</v>
      </c>
      <c r="K13" s="8">
        <f t="shared" si="8"/>
        <v>-2.7200000000000006</v>
      </c>
      <c r="L13" s="241">
        <f t="shared" si="8"/>
        <v>2.7199999999999971</v>
      </c>
      <c r="M13" s="241">
        <f t="shared" si="8"/>
        <v>-2.7200000000000006</v>
      </c>
      <c r="N13" s="241">
        <f t="shared" si="8"/>
        <v>0</v>
      </c>
      <c r="O13" s="241">
        <f t="shared" si="8"/>
        <v>0</v>
      </c>
    </row>
    <row r="14" spans="3:15">
      <c r="C14" s="632"/>
      <c r="D14" s="635">
        <f>AVERAGE(D6:E10)</f>
        <v>33.160000000000004</v>
      </c>
      <c r="E14" s="635"/>
      <c r="F14" s="635">
        <f>AVERAGE(F6:G10)</f>
        <v>8.1600000000000019</v>
      </c>
      <c r="G14" s="635"/>
      <c r="H14" s="635">
        <f>AVERAGE(H6:I10)</f>
        <v>8.16</v>
      </c>
      <c r="I14" s="635"/>
      <c r="J14" s="643">
        <f>AVERAGE(J6:K10)</f>
        <v>-1.4210854715202005E-15</v>
      </c>
      <c r="K14" s="643"/>
      <c r="L14" s="648">
        <f>AVERAGE(L6:M10)</f>
        <v>-1.7763568394002505E-15</v>
      </c>
      <c r="M14" s="648"/>
      <c r="N14" s="648">
        <f>AVERAGE(N6:O10)</f>
        <v>0</v>
      </c>
      <c r="O14" s="648"/>
    </row>
  </sheetData>
  <mergeCells count="27">
    <mergeCell ref="C3:C4"/>
    <mergeCell ref="D3:E3"/>
    <mergeCell ref="F3:G3"/>
    <mergeCell ref="H3:I3"/>
    <mergeCell ref="J3:K3"/>
    <mergeCell ref="N3:O3"/>
    <mergeCell ref="D4:E4"/>
    <mergeCell ref="F4:G4"/>
    <mergeCell ref="H4:I4"/>
    <mergeCell ref="J4:K4"/>
    <mergeCell ref="L4:M4"/>
    <mergeCell ref="N4:O4"/>
    <mergeCell ref="L3:M3"/>
    <mergeCell ref="N12:O12"/>
    <mergeCell ref="C13:C14"/>
    <mergeCell ref="D14:E14"/>
    <mergeCell ref="F14:G14"/>
    <mergeCell ref="H14:I14"/>
    <mergeCell ref="J14:K14"/>
    <mergeCell ref="L14:M14"/>
    <mergeCell ref="N14:O14"/>
    <mergeCell ref="C11:C12"/>
    <mergeCell ref="D12:E12"/>
    <mergeCell ref="F12:G12"/>
    <mergeCell ref="H12:I12"/>
    <mergeCell ref="J12:K12"/>
    <mergeCell ref="L12:M12"/>
  </mergeCells>
  <phoneticPr fontId="2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C1:G11"/>
  <sheetViews>
    <sheetView workbookViewId="0"/>
  </sheetViews>
  <sheetFormatPr defaultRowHeight="13.2"/>
  <sheetData>
    <row r="1" spans="3:7">
      <c r="D1">
        <v>10.879999999999999</v>
      </c>
      <c r="E1">
        <v>5.4400000000000013</v>
      </c>
    </row>
    <row r="2" spans="3:7">
      <c r="D2">
        <v>8.1600000000000019</v>
      </c>
    </row>
    <row r="3" spans="3:7">
      <c r="C3" s="632"/>
      <c r="D3" s="632" t="s">
        <v>439</v>
      </c>
      <c r="E3" s="632"/>
      <c r="F3" s="632" t="s">
        <v>440</v>
      </c>
      <c r="G3" s="632"/>
    </row>
    <row r="4" spans="3:7">
      <c r="C4" s="632"/>
      <c r="D4" s="234" t="s">
        <v>233</v>
      </c>
      <c r="E4" s="234" t="s">
        <v>234</v>
      </c>
      <c r="F4" s="243" t="s">
        <v>233</v>
      </c>
      <c r="G4" s="243" t="s">
        <v>434</v>
      </c>
    </row>
    <row r="5" spans="3:7">
      <c r="C5" s="237">
        <v>1</v>
      </c>
      <c r="D5" s="8">
        <f>$D$1-$D$2</f>
        <v>2.7199999999999971</v>
      </c>
      <c r="E5" s="8">
        <f>$E$1-$D$2</f>
        <v>-2.7200000000000006</v>
      </c>
      <c r="F5" s="487">
        <f>D5^2</f>
        <v>7.3983999999999845</v>
      </c>
      <c r="G5" s="487">
        <f>E5^2</f>
        <v>7.3984000000000032</v>
      </c>
    </row>
    <row r="6" spans="3:7">
      <c r="C6" s="237">
        <v>2</v>
      </c>
      <c r="D6" s="8">
        <f>$D$1-$D$2</f>
        <v>2.7199999999999971</v>
      </c>
      <c r="E6" s="8">
        <f t="shared" ref="E6:E9" si="0">$E$1-$D$2</f>
        <v>-2.7200000000000006</v>
      </c>
      <c r="F6" s="487">
        <f t="shared" ref="F6:F9" si="1">D6^2</f>
        <v>7.3983999999999845</v>
      </c>
      <c r="G6" s="487">
        <f t="shared" ref="G6:G9" si="2">E6^2</f>
        <v>7.3984000000000032</v>
      </c>
    </row>
    <row r="7" spans="3:7">
      <c r="C7" s="237">
        <v>3</v>
      </c>
      <c r="D7" s="8">
        <f t="shared" ref="D7:D9" si="3">$D$1-$D$2</f>
        <v>2.7199999999999971</v>
      </c>
      <c r="E7" s="8">
        <f t="shared" si="0"/>
        <v>-2.7200000000000006</v>
      </c>
      <c r="F7" s="487">
        <f t="shared" si="1"/>
        <v>7.3983999999999845</v>
      </c>
      <c r="G7" s="487">
        <f t="shared" si="2"/>
        <v>7.3984000000000032</v>
      </c>
    </row>
    <row r="8" spans="3:7">
      <c r="C8" s="237">
        <v>4</v>
      </c>
      <c r="D8" s="8">
        <f t="shared" si="3"/>
        <v>2.7199999999999971</v>
      </c>
      <c r="E8" s="8">
        <f t="shared" si="0"/>
        <v>-2.7200000000000006</v>
      </c>
      <c r="F8" s="487">
        <f t="shared" si="1"/>
        <v>7.3983999999999845</v>
      </c>
      <c r="G8" s="487">
        <f t="shared" si="2"/>
        <v>7.3984000000000032</v>
      </c>
    </row>
    <row r="9" spans="3:7">
      <c r="C9" s="237">
        <v>5</v>
      </c>
      <c r="D9" s="8">
        <f t="shared" si="3"/>
        <v>2.7199999999999971</v>
      </c>
      <c r="E9" s="8">
        <f t="shared" si="0"/>
        <v>-2.7200000000000006</v>
      </c>
      <c r="F9" s="487">
        <f t="shared" si="1"/>
        <v>7.3983999999999845</v>
      </c>
      <c r="G9" s="487">
        <f t="shared" si="2"/>
        <v>7.3984000000000032</v>
      </c>
    </row>
    <row r="10" spans="3:7">
      <c r="C10" s="632" t="s">
        <v>28</v>
      </c>
      <c r="D10" s="8">
        <f t="shared" ref="D10:G10" si="4">SUM(D5:D9)</f>
        <v>13.599999999999985</v>
      </c>
      <c r="E10" s="8">
        <f t="shared" si="4"/>
        <v>-13.600000000000003</v>
      </c>
      <c r="F10" s="492">
        <f t="shared" si="4"/>
        <v>36.991999999999919</v>
      </c>
      <c r="G10" s="492">
        <f t="shared" si="4"/>
        <v>36.992000000000019</v>
      </c>
    </row>
    <row r="11" spans="3:7">
      <c r="C11" s="632"/>
      <c r="D11" s="643">
        <f>SUM(D5:E9)</f>
        <v>-1.7763568394002505E-14</v>
      </c>
      <c r="E11" s="643"/>
      <c r="F11" s="642">
        <f>SUM(F5:G9)</f>
        <v>73.983999999999952</v>
      </c>
      <c r="G11" s="642"/>
    </row>
  </sheetData>
  <mergeCells count="6">
    <mergeCell ref="C3:C4"/>
    <mergeCell ref="D3:E3"/>
    <mergeCell ref="F3:G3"/>
    <mergeCell ref="C10:C11"/>
    <mergeCell ref="D11:E11"/>
    <mergeCell ref="F11:G11"/>
  </mergeCells>
  <phoneticPr fontId="2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C3:G11"/>
  <sheetViews>
    <sheetView workbookViewId="0"/>
  </sheetViews>
  <sheetFormatPr defaultRowHeight="13.2"/>
  <sheetData>
    <row r="3" spans="3:7">
      <c r="C3" s="632"/>
      <c r="D3" s="632" t="s">
        <v>441</v>
      </c>
      <c r="E3" s="632"/>
      <c r="F3" s="632" t="s">
        <v>442</v>
      </c>
      <c r="G3" s="632"/>
    </row>
    <row r="4" spans="3:7">
      <c r="C4" s="632"/>
      <c r="D4" s="234" t="s">
        <v>233</v>
      </c>
      <c r="E4" s="234" t="s">
        <v>234</v>
      </c>
      <c r="F4" s="243" t="s">
        <v>233</v>
      </c>
      <c r="G4" s="243" t="s">
        <v>434</v>
      </c>
    </row>
    <row r="5" spans="3:7">
      <c r="C5" s="237">
        <v>1</v>
      </c>
      <c r="D5" s="8">
        <v>2.5199999999999996</v>
      </c>
      <c r="E5" s="8">
        <v>1.6600000000000001</v>
      </c>
      <c r="F5" s="487">
        <f>D5^2</f>
        <v>6.3503999999999978</v>
      </c>
      <c r="G5" s="487">
        <f>E5^2</f>
        <v>2.7556000000000003</v>
      </c>
    </row>
    <row r="6" spans="3:7">
      <c r="C6" s="237">
        <v>2</v>
      </c>
      <c r="D6" s="8">
        <v>4.620000000000001</v>
      </c>
      <c r="E6" s="8">
        <v>-1.6400000000000006</v>
      </c>
      <c r="F6" s="487">
        <f t="shared" ref="F6:F9" si="0">D6^2</f>
        <v>21.344400000000011</v>
      </c>
      <c r="G6" s="487">
        <f t="shared" ref="G6:G9" si="1">E6^2</f>
        <v>2.6896000000000018</v>
      </c>
    </row>
    <row r="7" spans="3:7">
      <c r="C7" s="237">
        <v>3</v>
      </c>
      <c r="D7" s="8">
        <v>1.0199999999999996</v>
      </c>
      <c r="E7" s="8">
        <v>8.2600000000000016</v>
      </c>
      <c r="F7" s="487">
        <f t="shared" si="0"/>
        <v>1.0403999999999991</v>
      </c>
      <c r="G7" s="487">
        <f t="shared" si="1"/>
        <v>68.227600000000024</v>
      </c>
    </row>
    <row r="8" spans="3:7">
      <c r="C8" s="237">
        <v>4</v>
      </c>
      <c r="D8" s="8">
        <v>-3.6799999999999962</v>
      </c>
      <c r="E8" s="8">
        <v>-0.83999999999999986</v>
      </c>
      <c r="F8" s="487">
        <f t="shared" si="0"/>
        <v>13.542399999999972</v>
      </c>
      <c r="G8" s="487">
        <f t="shared" si="1"/>
        <v>0.70559999999999978</v>
      </c>
    </row>
    <row r="9" spans="3:7">
      <c r="C9" s="237">
        <v>5</v>
      </c>
      <c r="D9" s="8">
        <v>-4.4800000000000004</v>
      </c>
      <c r="E9" s="8">
        <v>-7.4400000000000013</v>
      </c>
      <c r="F9" s="487">
        <f t="shared" si="0"/>
        <v>20.070400000000003</v>
      </c>
      <c r="G9" s="487">
        <f t="shared" si="1"/>
        <v>55.353600000000021</v>
      </c>
    </row>
    <row r="10" spans="3:7">
      <c r="C10" s="632" t="s">
        <v>28</v>
      </c>
      <c r="D10" s="8">
        <f t="shared" ref="D10:G10" si="2">SUM(D5:D9)</f>
        <v>0</v>
      </c>
      <c r="E10" s="8">
        <f t="shared" si="2"/>
        <v>0</v>
      </c>
      <c r="F10" s="492">
        <f t="shared" si="2"/>
        <v>62.347999999999985</v>
      </c>
      <c r="G10" s="492">
        <f t="shared" si="2"/>
        <v>129.73200000000006</v>
      </c>
    </row>
    <row r="11" spans="3:7">
      <c r="C11" s="632"/>
      <c r="D11" s="643">
        <f>SUM(D5:E9)</f>
        <v>0</v>
      </c>
      <c r="E11" s="643"/>
      <c r="F11" s="642">
        <f>SUM(F5:G9)</f>
        <v>192.08000000000004</v>
      </c>
      <c r="G11" s="642"/>
    </row>
  </sheetData>
  <mergeCells count="6">
    <mergeCell ref="C3:C4"/>
    <mergeCell ref="D3:E3"/>
    <mergeCell ref="F3:G3"/>
    <mergeCell ref="C10:C11"/>
    <mergeCell ref="D11:E11"/>
    <mergeCell ref="F11:G11"/>
  </mergeCells>
  <phoneticPr fontId="2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B2:E16"/>
  <sheetViews>
    <sheetView workbookViewId="0"/>
  </sheetViews>
  <sheetFormatPr defaultRowHeight="13.2"/>
  <sheetData>
    <row r="2" spans="2:5">
      <c r="B2" s="235"/>
      <c r="C2" s="235"/>
      <c r="D2" s="235"/>
      <c r="E2" s="235" t="s">
        <v>235</v>
      </c>
    </row>
    <row r="3" spans="2:5">
      <c r="B3" s="237"/>
      <c r="C3" s="250" t="s">
        <v>219</v>
      </c>
      <c r="D3" s="250" t="s">
        <v>231</v>
      </c>
      <c r="E3" s="250" t="s">
        <v>236</v>
      </c>
    </row>
    <row r="4" spans="2:5">
      <c r="B4" s="251">
        <v>1</v>
      </c>
      <c r="C4" s="252">
        <v>0.21</v>
      </c>
      <c r="D4" s="252">
        <v>0.32</v>
      </c>
      <c r="E4" s="252">
        <v>0.02</v>
      </c>
    </row>
    <row r="5" spans="2:5">
      <c r="B5" s="251">
        <v>2</v>
      </c>
      <c r="C5" s="252">
        <v>0.15</v>
      </c>
      <c r="D5" s="252">
        <v>0.08</v>
      </c>
      <c r="E5" s="252">
        <v>-0.14000000000000001</v>
      </c>
    </row>
    <row r="6" spans="2:5">
      <c r="B6" s="253">
        <v>3</v>
      </c>
      <c r="C6" s="252">
        <v>0.32</v>
      </c>
      <c r="D6" s="252">
        <v>-0.13</v>
      </c>
      <c r="E6" s="252">
        <v>-0.31</v>
      </c>
    </row>
    <row r="7" spans="2:5">
      <c r="B7" s="251">
        <v>4</v>
      </c>
      <c r="C7" s="252">
        <v>0.27</v>
      </c>
      <c r="D7" s="252">
        <v>0.43</v>
      </c>
      <c r="E7" s="252">
        <v>-0.17</v>
      </c>
    </row>
    <row r="8" spans="2:5">
      <c r="B8" s="251">
        <v>5</v>
      </c>
      <c r="C8" s="252">
        <v>0.41</v>
      </c>
      <c r="D8" s="252">
        <v>0.15</v>
      </c>
      <c r="E8" s="252">
        <v>-0.22</v>
      </c>
    </row>
    <row r="9" spans="2:5">
      <c r="B9" s="251">
        <v>6</v>
      </c>
      <c r="C9" s="252">
        <v>0.08</v>
      </c>
      <c r="D9" s="252">
        <v>-0.1</v>
      </c>
      <c r="E9" s="252">
        <v>0.03</v>
      </c>
    </row>
    <row r="10" spans="2:5">
      <c r="B10" s="251">
        <v>7</v>
      </c>
      <c r="C10" s="252">
        <v>0.28000000000000003</v>
      </c>
      <c r="D10" s="252">
        <v>0.27</v>
      </c>
      <c r="E10" s="252">
        <v>-0.19</v>
      </c>
    </row>
    <row r="11" spans="2:5">
      <c r="B11" s="251">
        <v>8</v>
      </c>
      <c r="C11" s="252">
        <v>0.33</v>
      </c>
      <c r="D11" s="252">
        <v>-0.53</v>
      </c>
      <c r="E11" s="252">
        <v>-0.22</v>
      </c>
    </row>
    <row r="12" spans="2:5">
      <c r="B12" s="251">
        <v>9</v>
      </c>
      <c r="C12" s="254" t="s">
        <v>237</v>
      </c>
      <c r="D12" s="252">
        <v>0.22</v>
      </c>
      <c r="E12" s="252">
        <v>-0.26</v>
      </c>
    </row>
    <row r="13" spans="2:5">
      <c r="B13" s="251">
        <v>10</v>
      </c>
      <c r="C13" s="254" t="s">
        <v>237</v>
      </c>
      <c r="D13" s="254" t="s">
        <v>238</v>
      </c>
      <c r="E13" s="252">
        <v>-0.32</v>
      </c>
    </row>
    <row r="14" spans="2:5">
      <c r="B14" s="255" t="s">
        <v>230</v>
      </c>
      <c r="C14" s="256">
        <f>SUM(C4:C13)</f>
        <v>2.0499999999999998</v>
      </c>
      <c r="D14" s="256">
        <f>SUM(D4:D13)</f>
        <v>0.71</v>
      </c>
      <c r="E14" s="257">
        <f>SUM(E4:E13)</f>
        <v>-1.78</v>
      </c>
    </row>
    <row r="15" spans="2:5">
      <c r="B15" s="255" t="s">
        <v>53</v>
      </c>
      <c r="C15" s="258">
        <f>AVERAGE(C4:C13)</f>
        <v>0.25624999999999998</v>
      </c>
      <c r="D15" s="258">
        <f t="shared" ref="D15:E15" si="0">AVERAGE(D4:D13)</f>
        <v>7.8888888888888883E-2</v>
      </c>
      <c r="E15" s="258">
        <f t="shared" si="0"/>
        <v>-0.17799999999999999</v>
      </c>
    </row>
    <row r="16" spans="2:5">
      <c r="B16" s="255" t="s">
        <v>239</v>
      </c>
      <c r="C16" s="256">
        <f>COUNT(C4:C13)</f>
        <v>8</v>
      </c>
      <c r="D16" s="256">
        <f>COUNT(D4:D13)</f>
        <v>9</v>
      </c>
      <c r="E16" s="256">
        <f>COUNT(E4:E13)</f>
        <v>10</v>
      </c>
    </row>
  </sheetData>
  <phoneticPr fontId="2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15"/>
  <sheetViews>
    <sheetView workbookViewId="0"/>
  </sheetViews>
  <sheetFormatPr defaultRowHeight="13.2"/>
  <sheetData>
    <row r="1" spans="1:4">
      <c r="A1" s="428"/>
      <c r="B1" s="428"/>
      <c r="C1" s="428"/>
      <c r="D1" s="428" t="s">
        <v>235</v>
      </c>
    </row>
    <row r="2" spans="1:4">
      <c r="A2" s="237"/>
      <c r="B2" s="250" t="s">
        <v>219</v>
      </c>
      <c r="C2" s="250" t="s">
        <v>231</v>
      </c>
      <c r="D2" s="250" t="s">
        <v>236</v>
      </c>
    </row>
    <row r="3" spans="1:4">
      <c r="A3" s="493">
        <v>1</v>
      </c>
      <c r="B3" s="254">
        <v>0.21</v>
      </c>
      <c r="C3" s="254">
        <v>0.32</v>
      </c>
      <c r="D3" s="254">
        <v>0.02</v>
      </c>
    </row>
    <row r="4" spans="1:4">
      <c r="A4" s="493">
        <v>2</v>
      </c>
      <c r="B4" s="254">
        <v>0.15</v>
      </c>
      <c r="C4" s="254">
        <v>0.08</v>
      </c>
      <c r="D4" s="254">
        <v>-0.14000000000000001</v>
      </c>
    </row>
    <row r="5" spans="1:4">
      <c r="A5" s="494">
        <v>3</v>
      </c>
      <c r="B5" s="254">
        <v>0.32</v>
      </c>
      <c r="C5" s="254">
        <v>-0.13</v>
      </c>
      <c r="D5" s="254">
        <v>-0.31</v>
      </c>
    </row>
    <row r="6" spans="1:4">
      <c r="A6" s="493">
        <v>4</v>
      </c>
      <c r="B6" s="254">
        <v>0.27</v>
      </c>
      <c r="C6" s="254">
        <v>0.43</v>
      </c>
      <c r="D6" s="254">
        <v>-0.17</v>
      </c>
    </row>
    <row r="7" spans="1:4">
      <c r="A7" s="493">
        <v>5</v>
      </c>
      <c r="B7" s="254">
        <v>0.41</v>
      </c>
      <c r="C7" s="254">
        <v>0.15</v>
      </c>
      <c r="D7" s="254">
        <v>-0.22</v>
      </c>
    </row>
    <row r="8" spans="1:4">
      <c r="A8" s="493">
        <v>6</v>
      </c>
      <c r="B8" s="254">
        <v>0.08</v>
      </c>
      <c r="C8" s="254">
        <v>-0.1</v>
      </c>
      <c r="D8" s="254">
        <v>0.03</v>
      </c>
    </row>
    <row r="9" spans="1:4">
      <c r="A9" s="493">
        <v>7</v>
      </c>
      <c r="B9" s="254">
        <v>0.28000000000000003</v>
      </c>
      <c r="C9" s="254">
        <v>0.27</v>
      </c>
      <c r="D9" s="254">
        <v>-0.19</v>
      </c>
    </row>
    <row r="10" spans="1:4">
      <c r="A10" s="493">
        <v>8</v>
      </c>
      <c r="B10" s="254">
        <v>0.33</v>
      </c>
      <c r="C10" s="254">
        <v>-0.53</v>
      </c>
      <c r="D10" s="254">
        <v>-0.22</v>
      </c>
    </row>
    <row r="11" spans="1:4">
      <c r="A11" s="493">
        <v>9</v>
      </c>
      <c r="B11" s="254" t="s">
        <v>237</v>
      </c>
      <c r="C11" s="254">
        <v>0.22</v>
      </c>
      <c r="D11" s="254">
        <v>-0.26</v>
      </c>
    </row>
    <row r="12" spans="1:4">
      <c r="A12" s="493">
        <v>10</v>
      </c>
      <c r="B12" s="254" t="s">
        <v>237</v>
      </c>
      <c r="C12" s="254" t="s">
        <v>238</v>
      </c>
      <c r="D12" s="254">
        <v>-0.32</v>
      </c>
    </row>
    <row r="13" spans="1:4">
      <c r="A13" s="255" t="s">
        <v>230</v>
      </c>
      <c r="B13" s="282">
        <f>SUM(B3:B12)</f>
        <v>2.0499999999999998</v>
      </c>
      <c r="C13" s="282">
        <f>SUM(C3:C12)</f>
        <v>0.71</v>
      </c>
      <c r="D13" s="495">
        <f>SUM(D3:D12)</f>
        <v>-1.78</v>
      </c>
    </row>
    <row r="14" spans="1:4">
      <c r="A14" s="255" t="s">
        <v>53</v>
      </c>
      <c r="B14" s="496">
        <f>AVERAGE(B3:B12)</f>
        <v>0.25624999999999998</v>
      </c>
      <c r="C14" s="496">
        <f t="shared" ref="C14:D14" si="0">AVERAGE(C3:C12)</f>
        <v>7.8888888888888883E-2</v>
      </c>
      <c r="D14" s="496">
        <f t="shared" si="0"/>
        <v>-0.17799999999999999</v>
      </c>
    </row>
    <row r="15" spans="1:4">
      <c r="A15" s="255" t="s">
        <v>239</v>
      </c>
      <c r="B15" s="282">
        <f>COUNT(B3:B12)</f>
        <v>8</v>
      </c>
      <c r="C15" s="282">
        <f>COUNT(C3:C12)</f>
        <v>9</v>
      </c>
      <c r="D15" s="282">
        <f>COUNT(D3:D12)</f>
        <v>10</v>
      </c>
    </row>
  </sheetData>
  <phoneticPr fontId="2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H15"/>
  <sheetViews>
    <sheetView workbookViewId="0"/>
  </sheetViews>
  <sheetFormatPr defaultRowHeight="13.2"/>
  <cols>
    <col min="6" max="6" width="19.33203125" bestFit="1" customWidth="1"/>
  </cols>
  <sheetData>
    <row r="1" spans="1:8">
      <c r="A1" s="428"/>
      <c r="B1" s="428"/>
      <c r="C1" s="428"/>
      <c r="D1" s="428" t="s">
        <v>235</v>
      </c>
      <c r="E1" s="428"/>
      <c r="F1" s="428"/>
      <c r="G1" s="428"/>
      <c r="H1" s="428"/>
    </row>
    <row r="2" spans="1:8">
      <c r="A2" s="237"/>
      <c r="B2" s="250" t="s">
        <v>219</v>
      </c>
      <c r="C2" s="250" t="s">
        <v>231</v>
      </c>
      <c r="D2" s="250" t="s">
        <v>236</v>
      </c>
      <c r="E2" s="428"/>
      <c r="F2" s="428"/>
      <c r="G2" s="428"/>
      <c r="H2" s="428"/>
    </row>
    <row r="3" spans="1:8">
      <c r="A3" s="493">
        <v>1</v>
      </c>
      <c r="B3" s="254">
        <v>0.21</v>
      </c>
      <c r="C3" s="254">
        <v>0.32</v>
      </c>
      <c r="D3" s="254">
        <v>0.02</v>
      </c>
      <c r="E3" s="428"/>
      <c r="F3" s="428" t="s">
        <v>443</v>
      </c>
      <c r="G3" s="497">
        <f>ROUND(SUMSQ(B3:D12),3)</f>
        <v>1.798</v>
      </c>
      <c r="H3" s="428"/>
    </row>
    <row r="4" spans="1:8">
      <c r="A4" s="493">
        <v>2</v>
      </c>
      <c r="B4" s="254">
        <v>0.15</v>
      </c>
      <c r="C4" s="254">
        <v>0.08</v>
      </c>
      <c r="D4" s="254">
        <v>-0.14000000000000001</v>
      </c>
      <c r="E4" s="428"/>
      <c r="F4" s="428"/>
      <c r="G4" s="428"/>
      <c r="H4" s="428"/>
    </row>
    <row r="5" spans="1:8">
      <c r="A5" s="494">
        <v>3</v>
      </c>
      <c r="B5" s="254">
        <v>0.32</v>
      </c>
      <c r="C5" s="254">
        <v>-0.13</v>
      </c>
      <c r="D5" s="254">
        <v>-0.31</v>
      </c>
      <c r="E5" s="428"/>
      <c r="F5" s="428" t="s">
        <v>444</v>
      </c>
      <c r="G5" s="497">
        <f>ROUND(SUM(B3:D12)^2/COUNT(B3:D12),3)</f>
        <v>3.5999999999999997E-2</v>
      </c>
      <c r="H5" s="428"/>
    </row>
    <row r="6" spans="1:8">
      <c r="A6" s="493">
        <v>4</v>
      </c>
      <c r="B6" s="254">
        <v>0.27</v>
      </c>
      <c r="C6" s="254">
        <v>0.43</v>
      </c>
      <c r="D6" s="254">
        <v>-0.17</v>
      </c>
      <c r="E6" s="428"/>
      <c r="F6" s="428"/>
      <c r="G6" s="428"/>
      <c r="H6" s="428"/>
    </row>
    <row r="7" spans="1:8">
      <c r="A7" s="493">
        <v>5</v>
      </c>
      <c r="B7" s="254">
        <v>0.41</v>
      </c>
      <c r="C7" s="254">
        <v>0.15</v>
      </c>
      <c r="D7" s="254">
        <v>-0.22</v>
      </c>
      <c r="E7" s="428"/>
      <c r="F7" s="428" t="s">
        <v>445</v>
      </c>
      <c r="G7" s="497">
        <f>ROUND((B13)^2/B15+(C13)^2/C15+D13^2/D15-G5,3)</f>
        <v>0.86199999999999999</v>
      </c>
      <c r="H7" s="428"/>
    </row>
    <row r="8" spans="1:8">
      <c r="A8" s="493">
        <v>6</v>
      </c>
      <c r="B8" s="254">
        <v>0.08</v>
      </c>
      <c r="C8" s="254">
        <v>-0.1</v>
      </c>
      <c r="D8" s="254">
        <v>0.03</v>
      </c>
      <c r="E8" s="428"/>
      <c r="F8" s="428"/>
      <c r="G8" s="428"/>
      <c r="H8" s="428"/>
    </row>
    <row r="9" spans="1:8">
      <c r="A9" s="493">
        <v>7</v>
      </c>
      <c r="B9" s="254">
        <v>0.28000000000000003</v>
      </c>
      <c r="C9" s="254">
        <v>0.27</v>
      </c>
      <c r="D9" s="254">
        <v>-0.19</v>
      </c>
      <c r="E9" s="428"/>
      <c r="F9" s="428" t="s">
        <v>446</v>
      </c>
      <c r="G9" s="498">
        <f>ROUND(G3-G5-G7,3)</f>
        <v>0.9</v>
      </c>
      <c r="H9" s="428"/>
    </row>
    <row r="10" spans="1:8">
      <c r="A10" s="493">
        <v>8</v>
      </c>
      <c r="B10" s="254">
        <v>0.33</v>
      </c>
      <c r="C10" s="254">
        <v>-0.53</v>
      </c>
      <c r="D10" s="254">
        <v>-0.22</v>
      </c>
      <c r="E10" s="428"/>
      <c r="F10" s="428"/>
      <c r="G10" s="428"/>
      <c r="H10" s="428"/>
    </row>
    <row r="11" spans="1:8">
      <c r="A11" s="493">
        <v>9</v>
      </c>
      <c r="B11" s="254" t="s">
        <v>237</v>
      </c>
      <c r="C11" s="254">
        <v>0.22</v>
      </c>
      <c r="D11" s="254">
        <v>-0.26</v>
      </c>
      <c r="E11" s="428"/>
      <c r="F11" s="428" t="s">
        <v>447</v>
      </c>
      <c r="G11" s="8">
        <f>G7/2</f>
        <v>0.43099999999999999</v>
      </c>
      <c r="H11" s="428"/>
    </row>
    <row r="12" spans="1:8">
      <c r="A12" s="493">
        <v>10</v>
      </c>
      <c r="B12" s="254" t="s">
        <v>237</v>
      </c>
      <c r="C12" s="254" t="s">
        <v>238</v>
      </c>
      <c r="D12" s="254">
        <v>-0.32</v>
      </c>
      <c r="E12" s="428"/>
      <c r="F12" s="428"/>
      <c r="G12" s="428"/>
      <c r="H12" s="428"/>
    </row>
    <row r="13" spans="1:8">
      <c r="A13" s="255" t="s">
        <v>230</v>
      </c>
      <c r="B13" s="282">
        <f>SUM(B3:B12)</f>
        <v>2.0499999999999998</v>
      </c>
      <c r="C13" s="282">
        <f>SUM(C3:C12)</f>
        <v>0.71</v>
      </c>
      <c r="D13" s="495">
        <f>SUM(D3:D12)</f>
        <v>-1.78</v>
      </c>
      <c r="E13" s="428"/>
      <c r="F13" s="428" t="s">
        <v>448</v>
      </c>
      <c r="G13" s="497">
        <f>G9/24</f>
        <v>3.7499999999999999E-2</v>
      </c>
      <c r="H13" s="428"/>
    </row>
    <row r="14" spans="1:8">
      <c r="A14" s="255" t="s">
        <v>53</v>
      </c>
      <c r="B14" s="496">
        <f>AVERAGE(B3:B12)</f>
        <v>0.25624999999999998</v>
      </c>
      <c r="C14" s="496">
        <f t="shared" ref="C14:D14" si="0">AVERAGE(C3:C12)</f>
        <v>7.8888888888888883E-2</v>
      </c>
      <c r="D14" s="496">
        <f t="shared" si="0"/>
        <v>-0.17799999999999999</v>
      </c>
      <c r="E14" s="428"/>
      <c r="F14" s="428"/>
      <c r="G14" s="428"/>
      <c r="H14" s="428"/>
    </row>
    <row r="15" spans="1:8">
      <c r="A15" s="255" t="s">
        <v>239</v>
      </c>
      <c r="B15" s="282">
        <f>COUNT(B3:B12)</f>
        <v>8</v>
      </c>
      <c r="C15" s="282">
        <f>COUNT(C3:C12)</f>
        <v>9</v>
      </c>
      <c r="D15" s="282">
        <f>COUNT(D3:D12)</f>
        <v>10</v>
      </c>
      <c r="E15" s="428"/>
      <c r="F15" s="428"/>
      <c r="G15" s="428"/>
      <c r="H15" s="428"/>
    </row>
  </sheetData>
  <phoneticPr fontId="2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2:I33"/>
  <sheetViews>
    <sheetView workbookViewId="0"/>
  </sheetViews>
  <sheetFormatPr defaultRowHeight="13.2"/>
  <cols>
    <col min="1" max="1" width="8.77734375" style="422"/>
    <col min="3" max="3" width="13" bestFit="1" customWidth="1"/>
  </cols>
  <sheetData>
    <row r="2" spans="3:9">
      <c r="C2" s="235"/>
      <c r="D2" s="235"/>
      <c r="E2" s="235"/>
      <c r="F2" s="235"/>
      <c r="G2" s="650" t="s">
        <v>240</v>
      </c>
      <c r="H2" s="650"/>
      <c r="I2" s="650"/>
    </row>
    <row r="3" spans="3:9">
      <c r="C3" s="237"/>
      <c r="D3" s="243" t="s">
        <v>241</v>
      </c>
      <c r="E3" s="243" t="s">
        <v>242</v>
      </c>
      <c r="F3" s="243" t="s">
        <v>243</v>
      </c>
      <c r="G3" s="243" t="s">
        <v>244</v>
      </c>
      <c r="H3" s="238" t="s">
        <v>225</v>
      </c>
      <c r="I3" s="238" t="s">
        <v>53</v>
      </c>
    </row>
    <row r="4" spans="3:9">
      <c r="C4" s="237" t="s">
        <v>245</v>
      </c>
      <c r="D4" s="8">
        <v>112</v>
      </c>
      <c r="E4" s="8">
        <v>116</v>
      </c>
      <c r="F4" s="8">
        <v>114</v>
      </c>
      <c r="G4" s="8">
        <v>118</v>
      </c>
      <c r="H4" s="242">
        <f>SUM(D4:G4)</f>
        <v>460</v>
      </c>
      <c r="I4" s="239">
        <f>ROUND(AVERAGE(D4:G4),3)</f>
        <v>115</v>
      </c>
    </row>
    <row r="5" spans="3:9">
      <c r="C5" s="237" t="s">
        <v>246</v>
      </c>
      <c r="D5" s="8">
        <v>108</v>
      </c>
      <c r="E5" s="8">
        <v>111</v>
      </c>
      <c r="F5" s="8">
        <v>109</v>
      </c>
      <c r="G5" s="8">
        <v>112</v>
      </c>
      <c r="H5" s="242">
        <f>SUM(D5:G5)</f>
        <v>440</v>
      </c>
      <c r="I5" s="239">
        <f>ROUND(AVERAGE(D5:G5),3)</f>
        <v>110</v>
      </c>
    </row>
    <row r="6" spans="3:9">
      <c r="C6" s="238" t="s">
        <v>225</v>
      </c>
      <c r="D6" s="242">
        <f>SUM(D4:D5)</f>
        <v>220</v>
      </c>
      <c r="E6" s="242">
        <f t="shared" ref="E6:G6" si="0">SUM(E4:E5)</f>
        <v>227</v>
      </c>
      <c r="F6" s="242">
        <f t="shared" si="0"/>
        <v>223</v>
      </c>
      <c r="G6" s="242">
        <f t="shared" si="0"/>
        <v>230</v>
      </c>
      <c r="H6" s="242">
        <f>SUM(D6:G6)</f>
        <v>900</v>
      </c>
      <c r="I6" s="239">
        <f>ROUND(AVERAGE(D4:G5),3)</f>
        <v>112.5</v>
      </c>
    </row>
    <row r="7" spans="3:9">
      <c r="C7" s="238" t="s">
        <v>53</v>
      </c>
      <c r="D7" s="259">
        <f>AVERAGE(D4:D5)</f>
        <v>110</v>
      </c>
      <c r="E7" s="259">
        <f t="shared" ref="E7:G7" si="1">AVERAGE(E4:E5)</f>
        <v>113.5</v>
      </c>
      <c r="F7" s="259">
        <f t="shared" si="1"/>
        <v>111.5</v>
      </c>
      <c r="G7" s="259">
        <f t="shared" si="1"/>
        <v>115</v>
      </c>
      <c r="H7" s="260"/>
      <c r="I7" s="235"/>
    </row>
    <row r="10" spans="3:9" s="422" customFormat="1"/>
    <row r="11" spans="3:9" s="422" customFormat="1"/>
    <row r="12" spans="3:9" s="422" customFormat="1"/>
    <row r="13" spans="3:9" s="422" customFormat="1"/>
    <row r="14" spans="3:9" s="422" customFormat="1"/>
    <row r="15" spans="3:9" s="422" customFormat="1">
      <c r="C15" s="237"/>
      <c r="D15" s="243" t="s">
        <v>241</v>
      </c>
      <c r="E15" s="243" t="s">
        <v>242</v>
      </c>
      <c r="F15" s="243" t="s">
        <v>243</v>
      </c>
      <c r="G15" s="243" t="s">
        <v>244</v>
      </c>
    </row>
    <row r="16" spans="3:9" s="422" customFormat="1">
      <c r="C16" s="237" t="s">
        <v>245</v>
      </c>
      <c r="D16" s="500">
        <f t="shared" ref="D16:F16" si="2">D20+D24+D28+D32</f>
        <v>112</v>
      </c>
      <c r="E16" s="500">
        <f t="shared" si="2"/>
        <v>116</v>
      </c>
      <c r="F16" s="500">
        <f t="shared" si="2"/>
        <v>114</v>
      </c>
      <c r="G16" s="500">
        <f>G20+G24+G28+G32</f>
        <v>118</v>
      </c>
    </row>
    <row r="17" spans="2:7" s="422" customFormat="1">
      <c r="C17" s="237" t="s">
        <v>246</v>
      </c>
      <c r="D17" s="500">
        <f t="shared" ref="D17:F17" si="3">D21+D25+D29+D33</f>
        <v>108</v>
      </c>
      <c r="E17" s="500">
        <f t="shared" si="3"/>
        <v>111</v>
      </c>
      <c r="F17" s="500">
        <f t="shared" si="3"/>
        <v>109</v>
      </c>
      <c r="G17" s="500">
        <f>G21+G25+G29+G33</f>
        <v>112</v>
      </c>
    </row>
    <row r="18" spans="2:7" s="422" customFormat="1"/>
    <row r="19" spans="2:7">
      <c r="B19" s="422" t="s">
        <v>449</v>
      </c>
      <c r="C19" s="237"/>
      <c r="D19" s="243" t="s">
        <v>241</v>
      </c>
      <c r="E19" s="243" t="s">
        <v>242</v>
      </c>
      <c r="F19" s="243" t="s">
        <v>243</v>
      </c>
      <c r="G19" s="243" t="s">
        <v>244</v>
      </c>
    </row>
    <row r="20" spans="2:7">
      <c r="B20" s="422"/>
      <c r="C20" s="237" t="s">
        <v>245</v>
      </c>
      <c r="D20" s="100">
        <f>$I$6</f>
        <v>112.5</v>
      </c>
      <c r="E20" s="100">
        <f t="shared" ref="E20:G21" si="4">$I$6</f>
        <v>112.5</v>
      </c>
      <c r="F20" s="100">
        <f t="shared" si="4"/>
        <v>112.5</v>
      </c>
      <c r="G20" s="100">
        <f t="shared" si="4"/>
        <v>112.5</v>
      </c>
    </row>
    <row r="21" spans="2:7">
      <c r="B21" s="422"/>
      <c r="C21" s="237" t="s">
        <v>246</v>
      </c>
      <c r="D21" s="100">
        <f>$I$6</f>
        <v>112.5</v>
      </c>
      <c r="E21" s="100">
        <f t="shared" si="4"/>
        <v>112.5</v>
      </c>
      <c r="F21" s="100">
        <f t="shared" si="4"/>
        <v>112.5</v>
      </c>
      <c r="G21" s="100">
        <f t="shared" si="4"/>
        <v>112.5</v>
      </c>
    </row>
    <row r="22" spans="2:7">
      <c r="B22" s="422"/>
      <c r="C22" s="422"/>
      <c r="D22" s="427"/>
      <c r="E22" s="427"/>
      <c r="F22" s="427"/>
      <c r="G22" s="427"/>
    </row>
    <row r="23" spans="2:7">
      <c r="B23" s="422" t="s">
        <v>450</v>
      </c>
      <c r="C23" s="237"/>
      <c r="D23" s="243" t="s">
        <v>241</v>
      </c>
      <c r="E23" s="243" t="s">
        <v>242</v>
      </c>
      <c r="F23" s="243" t="s">
        <v>243</v>
      </c>
      <c r="G23" s="243" t="s">
        <v>244</v>
      </c>
    </row>
    <row r="24" spans="2:7">
      <c r="B24" s="422"/>
      <c r="C24" s="237" t="s">
        <v>245</v>
      </c>
      <c r="D24" s="436">
        <f>$I$4-$I$6</f>
        <v>2.5</v>
      </c>
      <c r="E24" s="436">
        <f t="shared" ref="E24:G24" si="5">$I$4-$I$6</f>
        <v>2.5</v>
      </c>
      <c r="F24" s="436">
        <f t="shared" si="5"/>
        <v>2.5</v>
      </c>
      <c r="G24" s="436">
        <f t="shared" si="5"/>
        <v>2.5</v>
      </c>
    </row>
    <row r="25" spans="2:7">
      <c r="B25" s="422"/>
      <c r="C25" s="237" t="s">
        <v>246</v>
      </c>
      <c r="D25" s="436">
        <f>$I$5-$I$6</f>
        <v>-2.5</v>
      </c>
      <c r="E25" s="436">
        <f t="shared" ref="E25:G25" si="6">$I$5-$I$6</f>
        <v>-2.5</v>
      </c>
      <c r="F25" s="436">
        <f t="shared" si="6"/>
        <v>-2.5</v>
      </c>
      <c r="G25" s="436">
        <f t="shared" si="6"/>
        <v>-2.5</v>
      </c>
    </row>
    <row r="26" spans="2:7">
      <c r="B26" s="422"/>
      <c r="C26" s="428"/>
      <c r="D26" s="499"/>
      <c r="E26" s="499"/>
      <c r="F26" s="499"/>
      <c r="G26" s="499"/>
    </row>
    <row r="27" spans="2:7">
      <c r="B27" s="422" t="s">
        <v>451</v>
      </c>
      <c r="C27" s="237"/>
      <c r="D27" s="243" t="s">
        <v>241</v>
      </c>
      <c r="E27" s="243" t="s">
        <v>242</v>
      </c>
      <c r="F27" s="243" t="s">
        <v>243</v>
      </c>
      <c r="G27" s="243" t="s">
        <v>244</v>
      </c>
    </row>
    <row r="28" spans="2:7">
      <c r="B28" s="422"/>
      <c r="C28" s="237" t="s">
        <v>245</v>
      </c>
      <c r="D28" s="436">
        <f>$D$7-$I$6</f>
        <v>-2.5</v>
      </c>
      <c r="E28" s="436">
        <f>$E$7-$I$6</f>
        <v>1</v>
      </c>
      <c r="F28" s="436">
        <f>$F$7-$I$6</f>
        <v>-1</v>
      </c>
      <c r="G28" s="436">
        <f>$G$7-$I$6</f>
        <v>2.5</v>
      </c>
    </row>
    <row r="29" spans="2:7">
      <c r="B29" s="422"/>
      <c r="C29" s="237" t="s">
        <v>246</v>
      </c>
      <c r="D29" s="436">
        <f>$D$7-$I$6</f>
        <v>-2.5</v>
      </c>
      <c r="E29" s="436">
        <f>$E$7-$I$6</f>
        <v>1</v>
      </c>
      <c r="F29" s="436">
        <f>$F$7-$I$6</f>
        <v>-1</v>
      </c>
      <c r="G29" s="436">
        <f>$G$7-$I$6</f>
        <v>2.5</v>
      </c>
    </row>
    <row r="30" spans="2:7">
      <c r="B30" s="422"/>
      <c r="C30" s="422"/>
      <c r="D30" s="422"/>
      <c r="E30" s="422"/>
      <c r="F30" s="422"/>
      <c r="G30" s="422"/>
    </row>
    <row r="31" spans="2:7">
      <c r="B31" s="422" t="s">
        <v>438</v>
      </c>
      <c r="C31" s="237"/>
      <c r="D31" s="243" t="s">
        <v>241</v>
      </c>
      <c r="E31" s="243" t="s">
        <v>242</v>
      </c>
      <c r="F31" s="243" t="s">
        <v>243</v>
      </c>
      <c r="G31" s="243" t="s">
        <v>244</v>
      </c>
    </row>
    <row r="32" spans="2:7">
      <c r="B32" s="422"/>
      <c r="C32" s="237" t="s">
        <v>245</v>
      </c>
      <c r="D32" s="436">
        <f>D4-D20-D24-D28</f>
        <v>-0.5</v>
      </c>
      <c r="E32" s="436">
        <f t="shared" ref="E32:G32" si="7">E4-E20-E24-E28</f>
        <v>0</v>
      </c>
      <c r="F32" s="436">
        <f t="shared" si="7"/>
        <v>0</v>
      </c>
      <c r="G32" s="436">
        <f t="shared" si="7"/>
        <v>0.5</v>
      </c>
    </row>
    <row r="33" spans="2:7">
      <c r="B33" s="422"/>
      <c r="C33" s="237" t="s">
        <v>246</v>
      </c>
      <c r="D33" s="436">
        <f>D5-D21-D25-D29</f>
        <v>0.5</v>
      </c>
      <c r="E33" s="436">
        <f t="shared" ref="E33:G33" si="8">E5-E21-E25-E29</f>
        <v>0</v>
      </c>
      <c r="F33" s="436">
        <f t="shared" si="8"/>
        <v>0</v>
      </c>
      <c r="G33" s="436">
        <f t="shared" si="8"/>
        <v>-0.5</v>
      </c>
    </row>
  </sheetData>
  <mergeCells count="1">
    <mergeCell ref="G2:I2"/>
  </mergeCells>
  <phoneticPr fontId="2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B3:N6"/>
  <sheetViews>
    <sheetView workbookViewId="0"/>
  </sheetViews>
  <sheetFormatPr defaultRowHeight="13.2"/>
  <cols>
    <col min="9" max="9" width="13" bestFit="1" customWidth="1"/>
  </cols>
  <sheetData>
    <row r="3" spans="2:14">
      <c r="B3" s="422" t="s">
        <v>449</v>
      </c>
      <c r="C3" s="237"/>
      <c r="D3" s="243" t="s">
        <v>241</v>
      </c>
      <c r="E3" s="243" t="s">
        <v>242</v>
      </c>
      <c r="F3" s="243" t="s">
        <v>243</v>
      </c>
      <c r="G3" s="243" t="s">
        <v>244</v>
      </c>
      <c r="H3" s="422"/>
      <c r="I3" s="237"/>
      <c r="J3" s="243" t="s">
        <v>241</v>
      </c>
      <c r="K3" s="243" t="s">
        <v>242</v>
      </c>
      <c r="L3" s="243" t="s">
        <v>243</v>
      </c>
      <c r="M3" s="243" t="s">
        <v>244</v>
      </c>
      <c r="N3" s="238" t="s">
        <v>28</v>
      </c>
    </row>
    <row r="4" spans="2:14">
      <c r="B4" s="422"/>
      <c r="C4" s="237" t="s">
        <v>245</v>
      </c>
      <c r="D4" s="100">
        <v>112.5</v>
      </c>
      <c r="E4" s="100">
        <v>112.5</v>
      </c>
      <c r="F4" s="100">
        <v>112.5</v>
      </c>
      <c r="G4" s="100">
        <v>112.5</v>
      </c>
      <c r="H4" s="427"/>
      <c r="I4" s="237" t="s">
        <v>245</v>
      </c>
      <c r="J4" s="438">
        <f t="shared" ref="J4:M5" si="0">D4^2</f>
        <v>12656.25</v>
      </c>
      <c r="K4" s="438">
        <f t="shared" si="0"/>
        <v>12656.25</v>
      </c>
      <c r="L4" s="438">
        <f t="shared" si="0"/>
        <v>12656.25</v>
      </c>
      <c r="M4" s="438">
        <f t="shared" si="0"/>
        <v>12656.25</v>
      </c>
      <c r="N4" s="652">
        <f>SUM(J4:M5)</f>
        <v>101250</v>
      </c>
    </row>
    <row r="5" spans="2:14">
      <c r="B5" s="422"/>
      <c r="C5" s="237" t="s">
        <v>246</v>
      </c>
      <c r="D5" s="100">
        <v>112.5</v>
      </c>
      <c r="E5" s="100">
        <v>112.5</v>
      </c>
      <c r="F5" s="100">
        <v>112.5</v>
      </c>
      <c r="G5" s="100">
        <v>112.5</v>
      </c>
      <c r="H5" s="422"/>
      <c r="I5" s="237" t="s">
        <v>246</v>
      </c>
      <c r="J5" s="438">
        <f t="shared" si="0"/>
        <v>12656.25</v>
      </c>
      <c r="K5" s="438">
        <f t="shared" si="0"/>
        <v>12656.25</v>
      </c>
      <c r="L5" s="438">
        <f t="shared" si="0"/>
        <v>12656.25</v>
      </c>
      <c r="M5" s="438">
        <f t="shared" si="0"/>
        <v>12656.25</v>
      </c>
      <c r="N5" s="652"/>
    </row>
    <row r="6" spans="2:14">
      <c r="B6" s="422"/>
      <c r="C6" s="422"/>
      <c r="D6" s="427"/>
      <c r="E6" s="427"/>
      <c r="F6" s="427"/>
      <c r="G6" s="427"/>
      <c r="H6" s="427"/>
      <c r="I6" s="501" t="s">
        <v>28</v>
      </c>
      <c r="J6" s="651">
        <f>N4</f>
        <v>101250</v>
      </c>
      <c r="K6" s="651"/>
      <c r="L6" s="651"/>
      <c r="M6" s="651"/>
    </row>
  </sheetData>
  <mergeCells count="2">
    <mergeCell ref="J6:M6"/>
    <mergeCell ref="N4:N5"/>
  </mergeCells>
  <phoneticPr fontId="2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B3:N6"/>
  <sheetViews>
    <sheetView workbookViewId="0"/>
  </sheetViews>
  <sheetFormatPr defaultRowHeight="13.2"/>
  <cols>
    <col min="3" max="3" width="13" bestFit="1" customWidth="1"/>
    <col min="9" max="9" width="13" bestFit="1" customWidth="1"/>
  </cols>
  <sheetData>
    <row r="3" spans="2:14">
      <c r="B3" s="422" t="s">
        <v>450</v>
      </c>
      <c r="C3" s="237"/>
      <c r="D3" s="243" t="s">
        <v>241</v>
      </c>
      <c r="E3" s="243" t="s">
        <v>242</v>
      </c>
      <c r="F3" s="243" t="s">
        <v>243</v>
      </c>
      <c r="G3" s="243" t="s">
        <v>244</v>
      </c>
      <c r="I3" s="237"/>
      <c r="J3" s="243" t="s">
        <v>241</v>
      </c>
      <c r="K3" s="243" t="s">
        <v>242</v>
      </c>
      <c r="L3" s="243" t="s">
        <v>243</v>
      </c>
      <c r="M3" s="243" t="s">
        <v>244</v>
      </c>
      <c r="N3" s="238" t="s">
        <v>28</v>
      </c>
    </row>
    <row r="4" spans="2:14">
      <c r="B4" s="422"/>
      <c r="C4" s="237" t="s">
        <v>245</v>
      </c>
      <c r="D4" s="436">
        <v>2.5</v>
      </c>
      <c r="E4" s="436">
        <v>2.5</v>
      </c>
      <c r="F4" s="436">
        <v>2.5</v>
      </c>
      <c r="G4" s="436">
        <v>2.5</v>
      </c>
      <c r="I4" s="237" t="s">
        <v>245</v>
      </c>
      <c r="J4" s="438">
        <f t="shared" ref="J4:M5" si="0">D4^2</f>
        <v>6.25</v>
      </c>
      <c r="K4" s="438">
        <f t="shared" si="0"/>
        <v>6.25</v>
      </c>
      <c r="L4" s="438">
        <f t="shared" si="0"/>
        <v>6.25</v>
      </c>
      <c r="M4" s="438">
        <f t="shared" si="0"/>
        <v>6.25</v>
      </c>
      <c r="N4" s="653">
        <f>SUM(J4:M5)</f>
        <v>50</v>
      </c>
    </row>
    <row r="5" spans="2:14">
      <c r="B5" s="422"/>
      <c r="C5" s="237" t="s">
        <v>246</v>
      </c>
      <c r="D5" s="436">
        <v>-2.5</v>
      </c>
      <c r="E5" s="436">
        <v>-2.5</v>
      </c>
      <c r="F5" s="436">
        <v>-2.5</v>
      </c>
      <c r="G5" s="436">
        <v>-2.5</v>
      </c>
      <c r="I5" s="237" t="s">
        <v>246</v>
      </c>
      <c r="J5" s="438">
        <f t="shared" si="0"/>
        <v>6.25</v>
      </c>
      <c r="K5" s="438">
        <f t="shared" si="0"/>
        <v>6.25</v>
      </c>
      <c r="L5" s="438">
        <f t="shared" si="0"/>
        <v>6.25</v>
      </c>
      <c r="M5" s="438">
        <f t="shared" si="0"/>
        <v>6.25</v>
      </c>
      <c r="N5" s="653"/>
    </row>
    <row r="6" spans="2:14">
      <c r="I6" s="501" t="s">
        <v>28</v>
      </c>
      <c r="J6" s="647">
        <f>N4</f>
        <v>50</v>
      </c>
      <c r="K6" s="647"/>
      <c r="L6" s="647"/>
      <c r="M6" s="647"/>
      <c r="N6" s="502"/>
    </row>
  </sheetData>
  <mergeCells count="2">
    <mergeCell ref="N4:N5"/>
    <mergeCell ref="J6:M6"/>
  </mergeCells>
  <phoneticPr fontId="2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B3:N6"/>
  <sheetViews>
    <sheetView workbookViewId="0"/>
  </sheetViews>
  <sheetFormatPr defaultRowHeight="13.2"/>
  <cols>
    <col min="3" max="3" width="13" bestFit="1" customWidth="1"/>
    <col min="9" max="9" width="13" bestFit="1" customWidth="1"/>
  </cols>
  <sheetData>
    <row r="3" spans="2:14">
      <c r="B3" s="422" t="s">
        <v>451</v>
      </c>
      <c r="C3" s="237"/>
      <c r="D3" s="243" t="s">
        <v>241</v>
      </c>
      <c r="E3" s="243" t="s">
        <v>242</v>
      </c>
      <c r="F3" s="243" t="s">
        <v>243</v>
      </c>
      <c r="G3" s="243" t="s">
        <v>244</v>
      </c>
      <c r="H3" s="422"/>
      <c r="I3" s="237"/>
      <c r="J3" s="243" t="s">
        <v>241</v>
      </c>
      <c r="K3" s="243" t="s">
        <v>242</v>
      </c>
      <c r="L3" s="243" t="s">
        <v>243</v>
      </c>
      <c r="M3" s="243" t="s">
        <v>244</v>
      </c>
      <c r="N3" s="238" t="s">
        <v>28</v>
      </c>
    </row>
    <row r="4" spans="2:14">
      <c r="B4" s="422"/>
      <c r="C4" s="237" t="s">
        <v>245</v>
      </c>
      <c r="D4" s="436">
        <v>-2.5</v>
      </c>
      <c r="E4" s="436">
        <v>1</v>
      </c>
      <c r="F4" s="436">
        <v>-1</v>
      </c>
      <c r="G4" s="436">
        <v>2.5</v>
      </c>
      <c r="H4" s="422"/>
      <c r="I4" s="237" t="s">
        <v>245</v>
      </c>
      <c r="J4" s="438">
        <f t="shared" ref="J4:M5" si="0">D4^2</f>
        <v>6.25</v>
      </c>
      <c r="K4" s="438">
        <f t="shared" si="0"/>
        <v>1</v>
      </c>
      <c r="L4" s="438">
        <f t="shared" si="0"/>
        <v>1</v>
      </c>
      <c r="M4" s="438">
        <f t="shared" si="0"/>
        <v>6.25</v>
      </c>
      <c r="N4" s="653">
        <f>SUM(J4:M5)</f>
        <v>29</v>
      </c>
    </row>
    <row r="5" spans="2:14">
      <c r="B5" s="422"/>
      <c r="C5" s="237" t="s">
        <v>246</v>
      </c>
      <c r="D5" s="436">
        <v>-2.5</v>
      </c>
      <c r="E5" s="436">
        <v>1</v>
      </c>
      <c r="F5" s="436">
        <v>-1</v>
      </c>
      <c r="G5" s="436">
        <v>2.5</v>
      </c>
      <c r="H5" s="422"/>
      <c r="I5" s="237" t="s">
        <v>246</v>
      </c>
      <c r="J5" s="438">
        <f t="shared" si="0"/>
        <v>6.25</v>
      </c>
      <c r="K5" s="438">
        <f t="shared" si="0"/>
        <v>1</v>
      </c>
      <c r="L5" s="438">
        <f t="shared" si="0"/>
        <v>1</v>
      </c>
      <c r="M5" s="438">
        <f t="shared" si="0"/>
        <v>6.25</v>
      </c>
      <c r="N5" s="653"/>
    </row>
    <row r="6" spans="2:14">
      <c r="B6" s="422"/>
      <c r="C6" s="422"/>
      <c r="D6" s="422"/>
      <c r="E6" s="422"/>
      <c r="F6" s="422"/>
      <c r="G6" s="422"/>
      <c r="H6" s="422"/>
      <c r="I6" s="501" t="s">
        <v>28</v>
      </c>
      <c r="J6" s="647">
        <f>N4</f>
        <v>29</v>
      </c>
      <c r="K6" s="647"/>
      <c r="L6" s="647"/>
      <c r="M6" s="647"/>
      <c r="N6" s="422"/>
    </row>
  </sheetData>
  <mergeCells count="2">
    <mergeCell ref="N4:N5"/>
    <mergeCell ref="J6:M6"/>
  </mergeCells>
  <phoneticPr fontId="2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B3:N6"/>
  <sheetViews>
    <sheetView workbookViewId="0"/>
  </sheetViews>
  <sheetFormatPr defaultRowHeight="13.2"/>
  <cols>
    <col min="3" max="3" width="13" bestFit="1" customWidth="1"/>
    <col min="9" max="9" width="13" bestFit="1" customWidth="1"/>
  </cols>
  <sheetData>
    <row r="3" spans="2:14">
      <c r="B3" s="422" t="s">
        <v>438</v>
      </c>
      <c r="C3" s="237"/>
      <c r="D3" s="243" t="s">
        <v>241</v>
      </c>
      <c r="E3" s="243" t="s">
        <v>242</v>
      </c>
      <c r="F3" s="243" t="s">
        <v>243</v>
      </c>
      <c r="G3" s="243" t="s">
        <v>244</v>
      </c>
      <c r="H3" s="422"/>
      <c r="I3" s="237"/>
      <c r="J3" s="243" t="s">
        <v>241</v>
      </c>
      <c r="K3" s="243" t="s">
        <v>242</v>
      </c>
      <c r="L3" s="243" t="s">
        <v>243</v>
      </c>
      <c r="M3" s="243" t="s">
        <v>244</v>
      </c>
      <c r="N3" s="238" t="s">
        <v>28</v>
      </c>
    </row>
    <row r="4" spans="2:14">
      <c r="B4" s="422"/>
      <c r="C4" s="237" t="s">
        <v>245</v>
      </c>
      <c r="D4" s="436">
        <v>-0.5</v>
      </c>
      <c r="E4" s="436">
        <v>0</v>
      </c>
      <c r="F4" s="436">
        <v>0</v>
      </c>
      <c r="G4" s="436">
        <v>0.5</v>
      </c>
      <c r="H4" s="422"/>
      <c r="I4" s="237" t="s">
        <v>245</v>
      </c>
      <c r="J4" s="438">
        <f t="shared" ref="J4:M5" si="0">D4^2</f>
        <v>0.25</v>
      </c>
      <c r="K4" s="438">
        <f t="shared" si="0"/>
        <v>0</v>
      </c>
      <c r="L4" s="438">
        <f t="shared" si="0"/>
        <v>0</v>
      </c>
      <c r="M4" s="438">
        <f t="shared" si="0"/>
        <v>0.25</v>
      </c>
      <c r="N4" s="653">
        <f>SUM(J4:M5)</f>
        <v>1</v>
      </c>
    </row>
    <row r="5" spans="2:14">
      <c r="B5" s="422"/>
      <c r="C5" s="237" t="s">
        <v>246</v>
      </c>
      <c r="D5" s="436">
        <v>0.5</v>
      </c>
      <c r="E5" s="436">
        <v>0</v>
      </c>
      <c r="F5" s="436">
        <v>0</v>
      </c>
      <c r="G5" s="436">
        <v>-0.5</v>
      </c>
      <c r="H5" s="422"/>
      <c r="I5" s="237" t="s">
        <v>246</v>
      </c>
      <c r="J5" s="438">
        <f t="shared" si="0"/>
        <v>0.25</v>
      </c>
      <c r="K5" s="438">
        <f t="shared" si="0"/>
        <v>0</v>
      </c>
      <c r="L5" s="438">
        <f t="shared" si="0"/>
        <v>0</v>
      </c>
      <c r="M5" s="438">
        <f t="shared" si="0"/>
        <v>0.25</v>
      </c>
      <c r="N5" s="653"/>
    </row>
    <row r="6" spans="2:14">
      <c r="B6" s="422"/>
      <c r="C6" s="422"/>
      <c r="D6" s="422"/>
      <c r="E6" s="422"/>
      <c r="F6" s="422"/>
      <c r="G6" s="422"/>
      <c r="H6" s="422"/>
      <c r="I6" s="501" t="s">
        <v>28</v>
      </c>
      <c r="J6" s="647">
        <f>N4</f>
        <v>1</v>
      </c>
      <c r="K6" s="647"/>
      <c r="L6" s="647"/>
      <c r="M6" s="647"/>
      <c r="N6" s="422"/>
    </row>
  </sheetData>
  <mergeCells count="2">
    <mergeCell ref="N4:N5"/>
    <mergeCell ref="J6:M6"/>
  </mergeCells>
  <phoneticPr fontId="2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B3:H17"/>
  <sheetViews>
    <sheetView workbookViewId="0"/>
  </sheetViews>
  <sheetFormatPr defaultColWidth="8.77734375" defaultRowHeight="13.2"/>
  <cols>
    <col min="1" max="1" width="8.77734375" style="422"/>
    <col min="2" max="2" width="13" style="422" bestFit="1" customWidth="1"/>
    <col min="3" max="16384" width="8.77734375" style="422"/>
  </cols>
  <sheetData>
    <row r="3" spans="2:8">
      <c r="B3" s="428"/>
      <c r="C3" s="428"/>
      <c r="D3" s="428"/>
      <c r="E3" s="428"/>
      <c r="F3" s="650" t="s">
        <v>240</v>
      </c>
      <c r="G3" s="650"/>
      <c r="H3" s="650"/>
    </row>
    <row r="4" spans="2:8">
      <c r="B4" s="237"/>
      <c r="C4" s="243" t="s">
        <v>241</v>
      </c>
      <c r="D4" s="243" t="s">
        <v>242</v>
      </c>
      <c r="E4" s="243" t="s">
        <v>243</v>
      </c>
      <c r="F4" s="243" t="s">
        <v>244</v>
      </c>
      <c r="G4" s="238" t="s">
        <v>225</v>
      </c>
      <c r="H4" s="238" t="s">
        <v>53</v>
      </c>
    </row>
    <row r="5" spans="2:8">
      <c r="B5" s="638" t="s">
        <v>245</v>
      </c>
      <c r="C5" s="8">
        <v>112</v>
      </c>
      <c r="D5" s="8">
        <v>116</v>
      </c>
      <c r="E5" s="8">
        <v>114</v>
      </c>
      <c r="F5" s="8">
        <v>118</v>
      </c>
      <c r="G5" s="242">
        <f>SUM(C5:F5)</f>
        <v>460</v>
      </c>
      <c r="H5" s="239">
        <f>ROUND(AVERAGE(C5:F5),3)</f>
        <v>115</v>
      </c>
    </row>
    <row r="6" spans="2:8">
      <c r="B6" s="638"/>
      <c r="C6" s="8">
        <v>113</v>
      </c>
      <c r="D6" s="8">
        <v>114</v>
      </c>
      <c r="E6" s="8">
        <v>111</v>
      </c>
      <c r="F6" s="8">
        <v>126</v>
      </c>
      <c r="G6" s="242">
        <f t="shared" ref="G6:G9" si="0">SUM(C6:F6)</f>
        <v>464</v>
      </c>
      <c r="H6" s="239">
        <f t="shared" ref="H6:H8" si="1">ROUND(AVERAGE(C6:F6),3)</f>
        <v>116</v>
      </c>
    </row>
    <row r="7" spans="2:8">
      <c r="B7" s="638" t="s">
        <v>246</v>
      </c>
      <c r="C7" s="8">
        <v>108</v>
      </c>
      <c r="D7" s="8">
        <v>111</v>
      </c>
      <c r="E7" s="8">
        <v>109</v>
      </c>
      <c r="F7" s="8">
        <v>112</v>
      </c>
      <c r="G7" s="242">
        <f t="shared" si="0"/>
        <v>440</v>
      </c>
      <c r="H7" s="239">
        <f t="shared" si="1"/>
        <v>110</v>
      </c>
    </row>
    <row r="8" spans="2:8">
      <c r="B8" s="638"/>
      <c r="C8" s="8">
        <v>110</v>
      </c>
      <c r="D8" s="8">
        <v>110</v>
      </c>
      <c r="E8" s="8">
        <v>113</v>
      </c>
      <c r="F8" s="8">
        <v>111</v>
      </c>
      <c r="G8" s="242">
        <f t="shared" si="0"/>
        <v>444</v>
      </c>
      <c r="H8" s="239">
        <f t="shared" si="1"/>
        <v>111</v>
      </c>
    </row>
    <row r="9" spans="2:8">
      <c r="B9" s="238" t="s">
        <v>225</v>
      </c>
      <c r="C9" s="242">
        <f>SUM(C5:C8)</f>
        <v>443</v>
      </c>
      <c r="D9" s="242">
        <f t="shared" ref="D9:F9" si="2">SUM(D5:D8)</f>
        <v>451</v>
      </c>
      <c r="E9" s="242">
        <f t="shared" si="2"/>
        <v>447</v>
      </c>
      <c r="F9" s="242">
        <f t="shared" si="2"/>
        <v>467</v>
      </c>
      <c r="G9" s="242">
        <f t="shared" si="0"/>
        <v>1808</v>
      </c>
      <c r="H9" s="239">
        <f>AVERAGE(C5:F8)</f>
        <v>113</v>
      </c>
    </row>
    <row r="10" spans="2:8">
      <c r="B10" s="238" t="s">
        <v>53</v>
      </c>
      <c r="C10" s="259">
        <f>AVERAGE(C5:C8)</f>
        <v>110.75</v>
      </c>
      <c r="D10" s="259">
        <f t="shared" ref="D10:F10" si="3">AVERAGE(D5:D8)</f>
        <v>112.75</v>
      </c>
      <c r="E10" s="259">
        <f t="shared" si="3"/>
        <v>111.75</v>
      </c>
      <c r="F10" s="259">
        <f t="shared" si="3"/>
        <v>116.75</v>
      </c>
      <c r="G10" s="428"/>
      <c r="H10" s="428"/>
    </row>
    <row r="13" spans="2:8">
      <c r="B13" s="428"/>
      <c r="C13" s="428"/>
      <c r="D13" s="428"/>
      <c r="E13" s="654" t="s">
        <v>240</v>
      </c>
      <c r="F13" s="654"/>
      <c r="G13" s="654"/>
      <c r="H13" s="503"/>
    </row>
    <row r="14" spans="2:8">
      <c r="B14" s="237"/>
      <c r="C14" s="243" t="s">
        <v>241</v>
      </c>
      <c r="D14" s="243" t="s">
        <v>242</v>
      </c>
      <c r="E14" s="243" t="s">
        <v>243</v>
      </c>
      <c r="F14" s="243" t="s">
        <v>244</v>
      </c>
      <c r="G14" s="238" t="s">
        <v>225</v>
      </c>
      <c r="H14" s="238" t="s">
        <v>53</v>
      </c>
    </row>
    <row r="15" spans="2:8">
      <c r="B15" s="237" t="s">
        <v>245</v>
      </c>
      <c r="C15" s="8">
        <f>C5+C6</f>
        <v>225</v>
      </c>
      <c r="D15" s="8">
        <f t="shared" ref="D15:F15" si="4">D5+D6</f>
        <v>230</v>
      </c>
      <c r="E15" s="8">
        <f t="shared" si="4"/>
        <v>225</v>
      </c>
      <c r="F15" s="8">
        <f t="shared" si="4"/>
        <v>244</v>
      </c>
      <c r="G15" s="8">
        <f>SUM(C15:F15)</f>
        <v>924</v>
      </c>
      <c r="H15" s="504">
        <f>ROUND(AVERAGE(C15:F15),3)</f>
        <v>231</v>
      </c>
    </row>
    <row r="16" spans="2:8">
      <c r="B16" s="237" t="s">
        <v>246</v>
      </c>
      <c r="C16" s="8">
        <f>C7+C8</f>
        <v>218</v>
      </c>
      <c r="D16" s="8">
        <f t="shared" ref="D16:F16" si="5">D7+D8</f>
        <v>221</v>
      </c>
      <c r="E16" s="8">
        <f t="shared" si="5"/>
        <v>222</v>
      </c>
      <c r="F16" s="8">
        <f t="shared" si="5"/>
        <v>223</v>
      </c>
      <c r="G16" s="8">
        <f>SUM(C16:F16)</f>
        <v>884</v>
      </c>
      <c r="H16" s="504">
        <f>ROUND(AVERAGE(C16:F16),3)</f>
        <v>221</v>
      </c>
    </row>
    <row r="17" spans="2:8">
      <c r="B17" s="238" t="s">
        <v>225</v>
      </c>
      <c r="C17" s="242">
        <f>SUM(C15:C16)</f>
        <v>443</v>
      </c>
      <c r="D17" s="242">
        <f t="shared" ref="D17:F17" si="6">SUM(D15:D16)</f>
        <v>451</v>
      </c>
      <c r="E17" s="242">
        <f t="shared" si="6"/>
        <v>447</v>
      </c>
      <c r="F17" s="242">
        <f t="shared" si="6"/>
        <v>467</v>
      </c>
      <c r="G17" s="242">
        <f>SUM(C17:F17)</f>
        <v>1808</v>
      </c>
      <c r="H17" s="504">
        <f>ROUND(AVERAGE(C15:F16),3)</f>
        <v>226</v>
      </c>
    </row>
  </sheetData>
  <mergeCells count="4">
    <mergeCell ref="F3:H3"/>
    <mergeCell ref="B5:B6"/>
    <mergeCell ref="B7:B8"/>
    <mergeCell ref="E13:G13"/>
  </mergeCells>
  <phoneticPr fontId="2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B3:L6"/>
  <sheetViews>
    <sheetView workbookViewId="0"/>
  </sheetViews>
  <sheetFormatPr defaultRowHeight="13.2"/>
  <cols>
    <col min="2" max="2" width="13" bestFit="1" customWidth="1"/>
    <col min="8" max="8" width="13" bestFit="1" customWidth="1"/>
  </cols>
  <sheetData>
    <row r="3" spans="2:12">
      <c r="B3" s="237"/>
      <c r="C3" s="243" t="s">
        <v>241</v>
      </c>
      <c r="D3" s="243" t="s">
        <v>242</v>
      </c>
      <c r="E3" s="243" t="s">
        <v>243</v>
      </c>
      <c r="F3" s="243" t="s">
        <v>244</v>
      </c>
      <c r="H3" s="237"/>
      <c r="I3" s="243" t="s">
        <v>241</v>
      </c>
      <c r="J3" s="243" t="s">
        <v>242</v>
      </c>
      <c r="K3" s="243" t="s">
        <v>243</v>
      </c>
      <c r="L3" s="243" t="s">
        <v>244</v>
      </c>
    </row>
    <row r="4" spans="2:12">
      <c r="B4" s="237" t="s">
        <v>245</v>
      </c>
      <c r="C4" s="8">
        <v>225</v>
      </c>
      <c r="D4" s="8">
        <v>230</v>
      </c>
      <c r="E4" s="8">
        <v>225</v>
      </c>
      <c r="F4" s="8">
        <v>244</v>
      </c>
      <c r="H4" s="237" t="s">
        <v>245</v>
      </c>
      <c r="I4" s="76">
        <f>C4^2</f>
        <v>50625</v>
      </c>
      <c r="J4" s="76">
        <f t="shared" ref="J4:L4" si="0">D4^2</f>
        <v>52900</v>
      </c>
      <c r="K4" s="76">
        <f t="shared" si="0"/>
        <v>50625</v>
      </c>
      <c r="L4" s="76">
        <f t="shared" si="0"/>
        <v>59536</v>
      </c>
    </row>
    <row r="5" spans="2:12">
      <c r="B5" s="237" t="s">
        <v>246</v>
      </c>
      <c r="C5" s="8">
        <v>218</v>
      </c>
      <c r="D5" s="8">
        <v>221</v>
      </c>
      <c r="E5" s="8">
        <v>222</v>
      </c>
      <c r="F5" s="8">
        <v>223</v>
      </c>
      <c r="H5" s="237" t="s">
        <v>246</v>
      </c>
      <c r="I5" s="76">
        <f>C5^2</f>
        <v>47524</v>
      </c>
      <c r="J5" s="76">
        <f t="shared" ref="J5" si="1">D5^2</f>
        <v>48841</v>
      </c>
      <c r="K5" s="76">
        <f t="shared" ref="K5" si="2">E5^2</f>
        <v>49284</v>
      </c>
      <c r="L5" s="76">
        <f t="shared" ref="L5" si="3">F5^2</f>
        <v>49729</v>
      </c>
    </row>
    <row r="6" spans="2:12">
      <c r="H6" s="501" t="s">
        <v>28</v>
      </c>
      <c r="I6" s="655">
        <f>SUM(I4:L5)</f>
        <v>409064</v>
      </c>
      <c r="J6" s="656"/>
      <c r="K6" s="656"/>
      <c r="L6" s="657"/>
    </row>
  </sheetData>
  <mergeCells count="1">
    <mergeCell ref="I6:L6"/>
  </mergeCells>
  <phoneticPr fontId="2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J11"/>
  <sheetViews>
    <sheetView workbookViewId="0"/>
  </sheetViews>
  <sheetFormatPr defaultRowHeight="13.2"/>
  <cols>
    <col min="1" max="1" width="13" bestFit="1" customWidth="1"/>
    <col min="8" max="8" width="20.5546875" bestFit="1" customWidth="1"/>
  </cols>
  <sheetData>
    <row r="1" spans="1:10">
      <c r="A1" s="428"/>
      <c r="B1" s="428"/>
      <c r="C1" s="654" t="s">
        <v>452</v>
      </c>
      <c r="D1" s="654"/>
      <c r="E1" s="654"/>
      <c r="F1" s="654"/>
      <c r="G1" s="428"/>
      <c r="H1" s="428"/>
      <c r="I1" s="428"/>
      <c r="J1" s="428"/>
    </row>
    <row r="2" spans="1:10">
      <c r="A2" s="237"/>
      <c r="B2" s="243" t="s">
        <v>241</v>
      </c>
      <c r="C2" s="243" t="s">
        <v>242</v>
      </c>
      <c r="D2" s="243" t="s">
        <v>243</v>
      </c>
      <c r="E2" s="243" t="s">
        <v>244</v>
      </c>
      <c r="F2" s="227" t="s">
        <v>28</v>
      </c>
      <c r="G2" s="428"/>
      <c r="H2" s="428" t="s">
        <v>443</v>
      </c>
      <c r="I2" s="76">
        <f>ROUND(SUMSQ(B3:E4),1)</f>
        <v>101330</v>
      </c>
      <c r="J2" s="428"/>
    </row>
    <row r="3" spans="1:10">
      <c r="A3" s="237" t="s">
        <v>245</v>
      </c>
      <c r="B3" s="8">
        <v>112</v>
      </c>
      <c r="C3" s="8">
        <v>116</v>
      </c>
      <c r="D3" s="8">
        <v>114</v>
      </c>
      <c r="E3" s="8">
        <v>118</v>
      </c>
      <c r="F3" s="8">
        <f>SUM(B3:E3)</f>
        <v>460</v>
      </c>
      <c r="G3" s="428"/>
      <c r="H3" s="428"/>
      <c r="I3" s="428"/>
      <c r="J3" s="428"/>
    </row>
    <row r="4" spans="1:10">
      <c r="A4" s="237" t="s">
        <v>246</v>
      </c>
      <c r="B4" s="8">
        <v>108</v>
      </c>
      <c r="C4" s="8">
        <v>111</v>
      </c>
      <c r="D4" s="8">
        <v>109</v>
      </c>
      <c r="E4" s="8">
        <v>112</v>
      </c>
      <c r="F4" s="8">
        <f>SUM(B4:E4)</f>
        <v>440</v>
      </c>
      <c r="G4" s="428"/>
      <c r="H4" s="428" t="s">
        <v>444</v>
      </c>
      <c r="I4" s="505">
        <f>ROUND(SUM(B3:E4)^2/COUNT(B3:E4),1)</f>
        <v>101250</v>
      </c>
      <c r="J4" s="428"/>
    </row>
    <row r="5" spans="1:10">
      <c r="A5" s="227" t="s">
        <v>28</v>
      </c>
      <c r="B5" s="8">
        <f>SUM(B3:B4)</f>
        <v>220</v>
      </c>
      <c r="C5" s="8">
        <f t="shared" ref="C5:E5" si="0">SUM(C3:C4)</f>
        <v>227</v>
      </c>
      <c r="D5" s="8">
        <f t="shared" si="0"/>
        <v>223</v>
      </c>
      <c r="E5" s="8">
        <f t="shared" si="0"/>
        <v>230</v>
      </c>
      <c r="F5" s="428"/>
      <c r="G5" s="428"/>
      <c r="H5" s="428"/>
      <c r="I5" s="428"/>
      <c r="J5" s="428"/>
    </row>
    <row r="6" spans="1:10" ht="15.6">
      <c r="A6" s="428"/>
      <c r="B6" s="428"/>
      <c r="C6" s="428"/>
      <c r="D6" s="428"/>
      <c r="E6" s="428"/>
      <c r="F6" s="428"/>
      <c r="G6" s="428"/>
      <c r="H6" s="428" t="s">
        <v>453</v>
      </c>
      <c r="I6" s="100">
        <f>ROUND((F3^2+F4^2)/4-I4,1)</f>
        <v>50</v>
      </c>
      <c r="J6" s="428"/>
    </row>
    <row r="7" spans="1:10">
      <c r="A7" s="428"/>
      <c r="B7" s="428"/>
      <c r="C7" s="428"/>
      <c r="D7" s="428"/>
      <c r="E7" s="428"/>
      <c r="F7" s="428"/>
      <c r="G7" s="428"/>
      <c r="H7" s="428"/>
      <c r="I7" s="428"/>
      <c r="J7" s="428"/>
    </row>
    <row r="8" spans="1:10" ht="15.6">
      <c r="A8" s="428"/>
      <c r="B8" s="428"/>
      <c r="C8" s="428"/>
      <c r="D8" s="428"/>
      <c r="E8" s="428"/>
      <c r="F8" s="428"/>
      <c r="G8" s="428"/>
      <c r="H8" s="428" t="s">
        <v>454</v>
      </c>
      <c r="I8" s="100">
        <f>ROUND((B5^2+C5^2+D5^2+E5^2)/2-I4,1)</f>
        <v>29</v>
      </c>
      <c r="J8" s="428"/>
    </row>
    <row r="9" spans="1:10">
      <c r="A9" s="428"/>
      <c r="B9" s="428"/>
      <c r="C9" s="428"/>
      <c r="D9" s="428"/>
      <c r="E9" s="428"/>
      <c r="F9" s="428"/>
      <c r="G9" s="428"/>
      <c r="H9" s="428"/>
      <c r="I9" s="428"/>
      <c r="J9" s="428"/>
    </row>
    <row r="10" spans="1:10">
      <c r="A10" s="428"/>
      <c r="B10" s="428"/>
      <c r="C10" s="428"/>
      <c r="D10" s="428"/>
      <c r="E10" s="428"/>
      <c r="F10" s="428"/>
      <c r="G10" s="428"/>
      <c r="H10" s="428" t="s">
        <v>446</v>
      </c>
      <c r="I10" s="506">
        <f>ROUND(I2-I4-I6-I8,1)</f>
        <v>1</v>
      </c>
      <c r="J10" s="428"/>
    </row>
    <row r="11" spans="1:10">
      <c r="A11" s="428"/>
      <c r="B11" s="428"/>
      <c r="C11" s="428"/>
      <c r="D11" s="428"/>
      <c r="E11" s="428"/>
      <c r="F11" s="428"/>
      <c r="G11" s="428"/>
      <c r="H11" s="428"/>
      <c r="I11" s="428"/>
      <c r="J11" s="428"/>
    </row>
  </sheetData>
  <mergeCells count="1">
    <mergeCell ref="C1:F1"/>
  </mergeCells>
  <phoneticPr fontId="2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A8" sqref="A8"/>
    </sheetView>
  </sheetViews>
  <sheetFormatPr defaultRowHeight="13.2"/>
  <cols>
    <col min="1" max="1" width="13" bestFit="1" customWidth="1"/>
    <col min="8" max="8" width="19.33203125" bestFit="1" customWidth="1"/>
  </cols>
  <sheetData>
    <row r="1" spans="1:10">
      <c r="A1" s="428"/>
      <c r="B1" s="650" t="s">
        <v>452</v>
      </c>
      <c r="C1" s="650"/>
      <c r="D1" s="650"/>
      <c r="E1" s="650"/>
      <c r="F1" s="428"/>
      <c r="G1" s="428"/>
      <c r="H1" s="428"/>
      <c r="I1" s="428"/>
      <c r="J1" s="428"/>
    </row>
    <row r="2" spans="1:10">
      <c r="A2" s="237"/>
      <c r="B2" s="243" t="s">
        <v>241</v>
      </c>
      <c r="C2" s="243" t="s">
        <v>242</v>
      </c>
      <c r="D2" s="243" t="s">
        <v>243</v>
      </c>
      <c r="E2" s="243" t="s">
        <v>244</v>
      </c>
      <c r="F2" s="428"/>
      <c r="G2" s="428"/>
      <c r="H2" s="428" t="s">
        <v>443</v>
      </c>
      <c r="I2" s="505">
        <f>ROUND(SUMSQ(B3:E6),1)</f>
        <v>204582</v>
      </c>
      <c r="J2" s="428"/>
    </row>
    <row r="3" spans="1:10">
      <c r="A3" s="638" t="s">
        <v>245</v>
      </c>
      <c r="B3" s="8">
        <v>112</v>
      </c>
      <c r="C3" s="8">
        <v>116</v>
      </c>
      <c r="D3" s="8">
        <v>114</v>
      </c>
      <c r="E3" s="8">
        <v>118</v>
      </c>
      <c r="F3" s="428"/>
      <c r="G3" s="428"/>
      <c r="H3" s="428"/>
      <c r="I3" s="428"/>
      <c r="J3" s="428"/>
    </row>
    <row r="4" spans="1:10">
      <c r="A4" s="638"/>
      <c r="B4" s="8">
        <v>113</v>
      </c>
      <c r="C4" s="8">
        <v>114</v>
      </c>
      <c r="D4" s="8">
        <v>111</v>
      </c>
      <c r="E4" s="8">
        <v>126</v>
      </c>
      <c r="F4" s="428"/>
      <c r="G4" s="428"/>
      <c r="H4" s="428" t="s">
        <v>444</v>
      </c>
      <c r="I4" s="100">
        <f>ROUND(SUM(B3:E6)^2/COUNT(B3:E6),1)</f>
        <v>204304</v>
      </c>
      <c r="J4" s="428"/>
    </row>
    <row r="5" spans="1:10">
      <c r="A5" s="638" t="s">
        <v>246</v>
      </c>
      <c r="B5" s="8">
        <v>108</v>
      </c>
      <c r="C5" s="8">
        <v>111</v>
      </c>
      <c r="D5" s="8">
        <v>109</v>
      </c>
      <c r="E5" s="8">
        <v>112</v>
      </c>
      <c r="F5" s="428"/>
      <c r="G5" s="428"/>
      <c r="H5" s="428"/>
      <c r="I5" s="428"/>
      <c r="J5" s="428"/>
    </row>
    <row r="6" spans="1:10">
      <c r="A6" s="638"/>
      <c r="B6" s="8">
        <v>110</v>
      </c>
      <c r="C6" s="8">
        <v>110</v>
      </c>
      <c r="D6" s="8">
        <v>113</v>
      </c>
      <c r="E6" s="8">
        <v>111</v>
      </c>
      <c r="F6" s="428"/>
      <c r="G6" s="428"/>
      <c r="H6" s="428"/>
      <c r="I6" s="428"/>
      <c r="J6" s="428"/>
    </row>
    <row r="7" spans="1:10">
      <c r="A7" s="428"/>
      <c r="B7" s="428"/>
      <c r="C7" s="428"/>
      <c r="D7" s="428"/>
      <c r="E7" s="428"/>
      <c r="F7" s="428"/>
      <c r="G7" s="428"/>
      <c r="H7" s="428"/>
      <c r="I7" s="428"/>
      <c r="J7" s="428"/>
    </row>
  </sheetData>
  <mergeCells count="3">
    <mergeCell ref="B1:E1"/>
    <mergeCell ref="A3:A4"/>
    <mergeCell ref="A5:A6"/>
  </mergeCells>
  <phoneticPr fontId="2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14" sqref="A14"/>
    </sheetView>
  </sheetViews>
  <sheetFormatPr defaultRowHeight="13.2"/>
  <cols>
    <col min="1" max="1" width="13" bestFit="1" customWidth="1"/>
  </cols>
  <sheetData>
    <row r="1" spans="1:6">
      <c r="A1" s="428"/>
      <c r="B1" s="650" t="s">
        <v>452</v>
      </c>
      <c r="C1" s="650"/>
      <c r="D1" s="650"/>
      <c r="E1" s="650"/>
      <c r="F1" s="428"/>
    </row>
    <row r="2" spans="1:6">
      <c r="A2" s="237"/>
      <c r="B2" s="243" t="s">
        <v>241</v>
      </c>
      <c r="C2" s="243" t="s">
        <v>242</v>
      </c>
      <c r="D2" s="243" t="s">
        <v>243</v>
      </c>
      <c r="E2" s="243" t="s">
        <v>244</v>
      </c>
      <c r="F2" s="428"/>
    </row>
    <row r="3" spans="1:6">
      <c r="A3" s="638" t="s">
        <v>245</v>
      </c>
      <c r="B3" s="8">
        <v>112</v>
      </c>
      <c r="C3" s="8">
        <v>116</v>
      </c>
      <c r="D3" s="8">
        <v>114</v>
      </c>
      <c r="E3" s="8">
        <v>118</v>
      </c>
      <c r="F3" s="428"/>
    </row>
    <row r="4" spans="1:6">
      <c r="A4" s="638"/>
      <c r="B4" s="8">
        <v>113</v>
      </c>
      <c r="C4" s="8">
        <v>114</v>
      </c>
      <c r="D4" s="8">
        <v>111</v>
      </c>
      <c r="E4" s="8">
        <v>126</v>
      </c>
      <c r="F4" s="428"/>
    </row>
    <row r="5" spans="1:6">
      <c r="A5" s="638" t="s">
        <v>246</v>
      </c>
      <c r="B5" s="8">
        <v>108</v>
      </c>
      <c r="C5" s="8">
        <v>111</v>
      </c>
      <c r="D5" s="8">
        <v>109</v>
      </c>
      <c r="E5" s="8">
        <v>112</v>
      </c>
      <c r="F5" s="428"/>
    </row>
    <row r="6" spans="1:6">
      <c r="A6" s="638"/>
      <c r="B6" s="8">
        <v>110</v>
      </c>
      <c r="C6" s="8">
        <v>110</v>
      </c>
      <c r="D6" s="8">
        <v>113</v>
      </c>
      <c r="E6" s="8">
        <v>111</v>
      </c>
      <c r="F6" s="428"/>
    </row>
    <row r="7" spans="1:6">
      <c r="A7" s="428"/>
      <c r="B7" s="428"/>
      <c r="C7" s="428"/>
      <c r="D7" s="428"/>
      <c r="E7" s="428"/>
      <c r="F7" s="428"/>
    </row>
    <row r="8" spans="1:6">
      <c r="A8" s="428" t="s">
        <v>455</v>
      </c>
      <c r="B8" s="428"/>
      <c r="C8" s="428"/>
      <c r="D8" s="428"/>
      <c r="E8" s="428"/>
      <c r="F8" s="428"/>
    </row>
    <row r="9" spans="1:6">
      <c r="A9" s="237"/>
      <c r="B9" s="243" t="s">
        <v>241</v>
      </c>
      <c r="C9" s="243" t="s">
        <v>242</v>
      </c>
      <c r="D9" s="243" t="s">
        <v>243</v>
      </c>
      <c r="E9" s="243" t="s">
        <v>244</v>
      </c>
      <c r="F9" s="227" t="s">
        <v>28</v>
      </c>
    </row>
    <row r="10" spans="1:6">
      <c r="A10" s="237" t="s">
        <v>245</v>
      </c>
      <c r="B10" s="8">
        <f>B3+B4</f>
        <v>225</v>
      </c>
      <c r="C10" s="8">
        <f t="shared" ref="C10:E10" si="0">C3+C4</f>
        <v>230</v>
      </c>
      <c r="D10" s="8">
        <f t="shared" si="0"/>
        <v>225</v>
      </c>
      <c r="E10" s="8">
        <f t="shared" si="0"/>
        <v>244</v>
      </c>
      <c r="F10" s="8">
        <f>SUM(B10:E10)</f>
        <v>924</v>
      </c>
    </row>
    <row r="11" spans="1:6">
      <c r="A11" s="237" t="s">
        <v>246</v>
      </c>
      <c r="B11" s="8">
        <f>B5+B6</f>
        <v>218</v>
      </c>
      <c r="C11" s="8">
        <f t="shared" ref="C11:E11" si="1">C5+C6</f>
        <v>221</v>
      </c>
      <c r="D11" s="8">
        <f t="shared" si="1"/>
        <v>222</v>
      </c>
      <c r="E11" s="8">
        <f t="shared" si="1"/>
        <v>223</v>
      </c>
      <c r="F11" s="8">
        <f>SUM(B11:E11)</f>
        <v>884</v>
      </c>
    </row>
    <row r="12" spans="1:6">
      <c r="A12" s="227" t="s">
        <v>28</v>
      </c>
      <c r="B12" s="8">
        <f>SUM(B10:B11)</f>
        <v>443</v>
      </c>
      <c r="C12" s="8">
        <f t="shared" ref="C12:E12" si="2">SUM(C10:C11)</f>
        <v>451</v>
      </c>
      <c r="D12" s="8">
        <f t="shared" si="2"/>
        <v>447</v>
      </c>
      <c r="E12" s="8">
        <f t="shared" si="2"/>
        <v>467</v>
      </c>
      <c r="F12" s="428"/>
    </row>
  </sheetData>
  <mergeCells count="3">
    <mergeCell ref="B1:E1"/>
    <mergeCell ref="A3:A4"/>
    <mergeCell ref="A5:A6"/>
  </mergeCells>
  <phoneticPr fontId="2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A18" sqref="A18"/>
    </sheetView>
  </sheetViews>
  <sheetFormatPr defaultRowHeight="13.2"/>
  <cols>
    <col min="1" max="1" width="13" bestFit="1" customWidth="1"/>
  </cols>
  <sheetData>
    <row r="1" spans="1:10">
      <c r="A1" s="428"/>
      <c r="B1" s="650" t="s">
        <v>452</v>
      </c>
      <c r="C1" s="650"/>
      <c r="D1" s="650"/>
      <c r="E1" s="650"/>
      <c r="F1" s="428"/>
      <c r="G1" s="428"/>
      <c r="H1" s="428"/>
      <c r="I1" s="428"/>
      <c r="J1" s="428"/>
    </row>
    <row r="2" spans="1:10">
      <c r="A2" s="237"/>
      <c r="B2" s="243" t="s">
        <v>241</v>
      </c>
      <c r="C2" s="243" t="s">
        <v>242</v>
      </c>
      <c r="D2" s="243" t="s">
        <v>243</v>
      </c>
      <c r="E2" s="243" t="s">
        <v>244</v>
      </c>
      <c r="F2" s="428"/>
      <c r="G2" s="428"/>
      <c r="H2" s="428" t="s">
        <v>443</v>
      </c>
      <c r="I2" s="505">
        <f>ROUND(SUMSQ(B3:E6),1)</f>
        <v>204582</v>
      </c>
      <c r="J2" s="428"/>
    </row>
    <row r="3" spans="1:10">
      <c r="A3" s="638" t="s">
        <v>245</v>
      </c>
      <c r="B3" s="8">
        <v>112</v>
      </c>
      <c r="C3" s="8">
        <v>116</v>
      </c>
      <c r="D3" s="8">
        <v>114</v>
      </c>
      <c r="E3" s="8">
        <v>118</v>
      </c>
      <c r="F3" s="428"/>
      <c r="G3" s="428"/>
      <c r="H3" s="428"/>
      <c r="I3" s="428"/>
      <c r="J3" s="428"/>
    </row>
    <row r="4" spans="1:10">
      <c r="A4" s="638"/>
      <c r="B4" s="8">
        <v>113</v>
      </c>
      <c r="C4" s="8">
        <v>114</v>
      </c>
      <c r="D4" s="8">
        <v>111</v>
      </c>
      <c r="E4" s="8">
        <v>126</v>
      </c>
      <c r="F4" s="428"/>
      <c r="G4" s="428"/>
      <c r="H4" s="428" t="s">
        <v>444</v>
      </c>
      <c r="I4" s="100">
        <f>ROUND(SUM(B3:E6)^2/COUNT(B3:E6),1)</f>
        <v>204304</v>
      </c>
      <c r="J4" s="428"/>
    </row>
    <row r="5" spans="1:10">
      <c r="A5" s="638" t="s">
        <v>246</v>
      </c>
      <c r="B5" s="8">
        <v>108</v>
      </c>
      <c r="C5" s="8">
        <v>111</v>
      </c>
      <c r="D5" s="8">
        <v>109</v>
      </c>
      <c r="E5" s="8">
        <v>112</v>
      </c>
      <c r="F5" s="428"/>
      <c r="G5" s="428"/>
      <c r="H5" s="428"/>
      <c r="I5" s="428"/>
      <c r="J5" s="428"/>
    </row>
    <row r="6" spans="1:10">
      <c r="A6" s="638"/>
      <c r="B6" s="8">
        <v>110</v>
      </c>
      <c r="C6" s="8">
        <v>110</v>
      </c>
      <c r="D6" s="8">
        <v>113</v>
      </c>
      <c r="E6" s="8">
        <v>111</v>
      </c>
      <c r="F6" s="428"/>
      <c r="G6" s="428"/>
      <c r="H6" s="428"/>
      <c r="I6" s="428"/>
      <c r="J6" s="428"/>
    </row>
    <row r="7" spans="1:10">
      <c r="A7" s="428"/>
      <c r="B7" s="428"/>
      <c r="C7" s="428"/>
      <c r="D7" s="428"/>
      <c r="E7" s="428"/>
      <c r="F7" s="428"/>
      <c r="G7" s="428"/>
      <c r="H7" s="428"/>
      <c r="I7" s="428"/>
      <c r="J7" s="428"/>
    </row>
    <row r="8" spans="1:10">
      <c r="A8" s="428" t="s">
        <v>455</v>
      </c>
      <c r="B8" s="428"/>
      <c r="C8" s="428"/>
      <c r="D8" s="428"/>
      <c r="E8" s="428"/>
      <c r="F8" s="428"/>
      <c r="G8" s="428"/>
      <c r="H8" s="428"/>
      <c r="I8" s="428"/>
      <c r="J8" s="428"/>
    </row>
    <row r="9" spans="1:10">
      <c r="A9" s="237"/>
      <c r="B9" s="243" t="s">
        <v>241</v>
      </c>
      <c r="C9" s="243" t="s">
        <v>242</v>
      </c>
      <c r="D9" s="243" t="s">
        <v>243</v>
      </c>
      <c r="E9" s="243" t="s">
        <v>244</v>
      </c>
      <c r="F9" s="227" t="s">
        <v>28</v>
      </c>
      <c r="G9" s="428"/>
      <c r="H9" s="428" t="s">
        <v>456</v>
      </c>
      <c r="I9" s="100">
        <f>ROUND((F10^2+F11^2)/(4*2)-I4,1)</f>
        <v>100</v>
      </c>
      <c r="J9" s="428"/>
    </row>
    <row r="10" spans="1:10">
      <c r="A10" s="237" t="s">
        <v>245</v>
      </c>
      <c r="B10" s="8">
        <f>B3+B4</f>
        <v>225</v>
      </c>
      <c r="C10" s="8">
        <f t="shared" ref="C10:E10" si="0">C3+C4</f>
        <v>230</v>
      </c>
      <c r="D10" s="8">
        <f t="shared" si="0"/>
        <v>225</v>
      </c>
      <c r="E10" s="8">
        <f t="shared" si="0"/>
        <v>244</v>
      </c>
      <c r="F10" s="8">
        <f>SUM(B10:E10)</f>
        <v>924</v>
      </c>
      <c r="G10" s="428"/>
      <c r="H10" s="428"/>
      <c r="I10" s="428"/>
      <c r="J10" s="428"/>
    </row>
    <row r="11" spans="1:10">
      <c r="A11" s="237" t="s">
        <v>246</v>
      </c>
      <c r="B11" s="8">
        <f>B5+B6</f>
        <v>218</v>
      </c>
      <c r="C11" s="8">
        <f t="shared" ref="C11:E11" si="1">C5+C6</f>
        <v>221</v>
      </c>
      <c r="D11" s="8">
        <f t="shared" si="1"/>
        <v>222</v>
      </c>
      <c r="E11" s="8">
        <f t="shared" si="1"/>
        <v>223</v>
      </c>
      <c r="F11" s="8">
        <f>SUM(B11:E11)</f>
        <v>884</v>
      </c>
      <c r="G11" s="428"/>
      <c r="H11" s="428" t="s">
        <v>457</v>
      </c>
      <c r="I11" s="100">
        <f>ROUND((B12^2+C12^2+D12^2+E12^2)/(2*2)-I4,1)</f>
        <v>83</v>
      </c>
      <c r="J11" s="428"/>
    </row>
    <row r="12" spans="1:10">
      <c r="A12" s="227" t="s">
        <v>28</v>
      </c>
      <c r="B12" s="8">
        <f>SUM(B10:B11)</f>
        <v>443</v>
      </c>
      <c r="C12" s="8">
        <f t="shared" ref="C12:E12" si="2">SUM(C10:C11)</f>
        <v>451</v>
      </c>
      <c r="D12" s="8">
        <f t="shared" si="2"/>
        <v>447</v>
      </c>
      <c r="E12" s="8">
        <f t="shared" si="2"/>
        <v>467</v>
      </c>
      <c r="F12" s="428"/>
      <c r="G12" s="428"/>
      <c r="H12" s="428"/>
      <c r="I12" s="428"/>
      <c r="J12" s="428"/>
    </row>
    <row r="13" spans="1:10">
      <c r="A13" s="428"/>
      <c r="B13" s="428"/>
      <c r="C13" s="428"/>
      <c r="D13" s="428"/>
      <c r="E13" s="428"/>
      <c r="F13" s="428"/>
      <c r="G13" s="428"/>
      <c r="H13" s="428"/>
      <c r="I13" s="428"/>
      <c r="J13" s="428"/>
    </row>
    <row r="14" spans="1:10" ht="15.6">
      <c r="A14" s="428" t="s">
        <v>458</v>
      </c>
      <c r="B14" s="658">
        <f>ROUND(SUMSQ(B10:E11)/2-I4,1)</f>
        <v>228</v>
      </c>
      <c r="C14" s="659"/>
      <c r="D14" s="428"/>
      <c r="E14" s="428"/>
      <c r="F14" s="428"/>
      <c r="G14" s="428"/>
      <c r="H14" s="428" t="s">
        <v>459</v>
      </c>
      <c r="I14" s="436">
        <f>ROUND(B14-I9-I11,1)</f>
        <v>45</v>
      </c>
      <c r="J14" s="428"/>
    </row>
    <row r="15" spans="1:10">
      <c r="A15" s="428"/>
      <c r="B15" s="428"/>
      <c r="C15" s="428"/>
      <c r="D15" s="428"/>
      <c r="E15" s="428"/>
      <c r="F15" s="428"/>
      <c r="G15" s="428"/>
      <c r="H15" s="428"/>
      <c r="I15" s="428"/>
      <c r="J15" s="428"/>
    </row>
    <row r="16" spans="1:10">
      <c r="A16" s="428"/>
      <c r="B16" s="428"/>
      <c r="C16" s="428"/>
      <c r="D16" s="428"/>
      <c r="E16" s="428"/>
      <c r="F16" s="428"/>
      <c r="G16" s="428"/>
      <c r="H16" s="428" t="s">
        <v>446</v>
      </c>
      <c r="I16" s="507">
        <f>ROUND(I2-I4-I9-I11-I14,1)</f>
        <v>50</v>
      </c>
      <c r="J16" s="428"/>
    </row>
    <row r="17" spans="1:10">
      <c r="A17" s="428"/>
      <c r="B17" s="428"/>
      <c r="C17" s="428"/>
      <c r="D17" s="428"/>
      <c r="E17" s="428"/>
      <c r="F17" s="428"/>
      <c r="G17" s="428"/>
      <c r="H17" s="428"/>
      <c r="I17" s="428"/>
      <c r="J17" s="428"/>
    </row>
    <row r="18" spans="1:10">
      <c r="A18" s="428"/>
      <c r="B18" s="428"/>
      <c r="C18" s="428"/>
      <c r="D18" s="428"/>
      <c r="E18" s="428"/>
      <c r="F18" s="428"/>
      <c r="G18" s="428"/>
      <c r="H18" s="428"/>
      <c r="I18" s="428"/>
      <c r="J18" s="428"/>
    </row>
  </sheetData>
  <mergeCells count="4">
    <mergeCell ref="B1:E1"/>
    <mergeCell ref="A3:A4"/>
    <mergeCell ref="A5:A6"/>
    <mergeCell ref="B14:C14"/>
  </mergeCells>
  <phoneticPr fontId="2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C1:X80"/>
  <sheetViews>
    <sheetView topLeftCell="L28" workbookViewId="0">
      <selection activeCell="G37" sqref="G37"/>
    </sheetView>
  </sheetViews>
  <sheetFormatPr defaultColWidth="8.77734375" defaultRowHeight="13.2"/>
  <cols>
    <col min="1" max="2" width="8.77734375" style="422"/>
    <col min="3" max="3" width="5.21875" style="422" bestFit="1" customWidth="1"/>
    <col min="4" max="7" width="9.6640625" style="422" customWidth="1"/>
    <col min="8" max="17" width="8.77734375" style="422"/>
    <col min="18" max="18" width="22.77734375" style="422" bestFit="1" customWidth="1"/>
    <col min="19" max="16384" width="8.77734375" style="422"/>
  </cols>
  <sheetData>
    <row r="1" spans="3:15">
      <c r="E1" s="17" t="s">
        <v>425</v>
      </c>
      <c r="F1" s="422">
        <v>25</v>
      </c>
      <c r="G1" s="422">
        <v>25</v>
      </c>
    </row>
    <row r="3" spans="3:15" ht="24.45" customHeight="1">
      <c r="C3" s="667"/>
      <c r="D3" s="646" t="s">
        <v>421</v>
      </c>
      <c r="E3" s="669"/>
      <c r="F3" s="646" t="s">
        <v>422</v>
      </c>
      <c r="G3" s="669"/>
      <c r="H3" s="646" t="s">
        <v>426</v>
      </c>
      <c r="I3" s="669"/>
      <c r="J3" s="646" t="s">
        <v>427</v>
      </c>
      <c r="K3" s="669"/>
      <c r="L3" s="681" t="s">
        <v>435</v>
      </c>
      <c r="M3" s="682"/>
      <c r="N3" s="670" t="s">
        <v>436</v>
      </c>
      <c r="O3" s="671"/>
    </row>
    <row r="4" spans="3:15" ht="15" customHeight="1">
      <c r="C4" s="668"/>
      <c r="D4" s="672" t="s">
        <v>423</v>
      </c>
      <c r="E4" s="673"/>
      <c r="F4" s="646" t="s">
        <v>424</v>
      </c>
      <c r="G4" s="669"/>
      <c r="H4" s="645" t="s">
        <v>428</v>
      </c>
      <c r="I4" s="664"/>
      <c r="J4" s="645" t="s">
        <v>429</v>
      </c>
      <c r="K4" s="664"/>
      <c r="L4" s="662" t="s">
        <v>437</v>
      </c>
      <c r="M4" s="663"/>
      <c r="N4" s="662" t="s">
        <v>438</v>
      </c>
      <c r="O4" s="663"/>
    </row>
    <row r="5" spans="3:15" ht="22.5" customHeight="1">
      <c r="C5" s="237"/>
      <c r="D5" s="488" t="s">
        <v>233</v>
      </c>
      <c r="E5" s="488" t="s">
        <v>234</v>
      </c>
      <c r="F5" s="488" t="s">
        <v>233</v>
      </c>
      <c r="G5" s="488" t="s">
        <v>234</v>
      </c>
      <c r="H5" s="488" t="s">
        <v>233</v>
      </c>
      <c r="I5" s="488" t="s">
        <v>234</v>
      </c>
      <c r="J5" s="488" t="s">
        <v>233</v>
      </c>
      <c r="K5" s="488" t="s">
        <v>234</v>
      </c>
      <c r="L5" s="234" t="s">
        <v>233</v>
      </c>
      <c r="M5" s="234" t="s">
        <v>234</v>
      </c>
      <c r="N5" s="234" t="s">
        <v>233</v>
      </c>
      <c r="O5" s="234" t="s">
        <v>234</v>
      </c>
    </row>
    <row r="6" spans="3:15" ht="22.5" customHeight="1">
      <c r="C6" s="237">
        <v>1</v>
      </c>
      <c r="D6" s="489">
        <v>38.4</v>
      </c>
      <c r="E6" s="489">
        <v>32.1</v>
      </c>
      <c r="F6" s="8">
        <f>D6-$F$1</f>
        <v>13.399999999999999</v>
      </c>
      <c r="G6" s="8">
        <f>E6-$G$1</f>
        <v>7.1000000000000014</v>
      </c>
      <c r="H6" s="8">
        <f>$F$14</f>
        <v>8.1600000000000019</v>
      </c>
      <c r="I6" s="8">
        <f>$F$14</f>
        <v>8.1600000000000019</v>
      </c>
      <c r="J6" s="8">
        <f>F6-H6</f>
        <v>5.2399999999999967</v>
      </c>
      <c r="K6" s="8">
        <f>G6-I6</f>
        <v>-1.0600000000000005</v>
      </c>
      <c r="L6" s="242">
        <f>$F$13-$F$14</f>
        <v>2.7199999999999971</v>
      </c>
      <c r="M6" s="242">
        <f>$G$13-$F$14</f>
        <v>-2.7200000000000006</v>
      </c>
      <c r="N6" s="242">
        <f>J6-L6</f>
        <v>2.5199999999999996</v>
      </c>
      <c r="O6" s="242">
        <f>K6-M6</f>
        <v>1.6600000000000001</v>
      </c>
    </row>
    <row r="7" spans="3:15" ht="22.5" customHeight="1">
      <c r="C7" s="237">
        <v>2</v>
      </c>
      <c r="D7" s="489">
        <v>40.5</v>
      </c>
      <c r="E7" s="489">
        <v>28.8</v>
      </c>
      <c r="F7" s="8">
        <f t="shared" ref="F7:F10" si="0">D7-$F$1</f>
        <v>15.5</v>
      </c>
      <c r="G7" s="8">
        <f t="shared" ref="G7:G10" si="1">E7-$G$1</f>
        <v>3.8000000000000007</v>
      </c>
      <c r="H7" s="8">
        <f t="shared" ref="H7:I10" si="2">$F$14</f>
        <v>8.1600000000000019</v>
      </c>
      <c r="I7" s="8">
        <f t="shared" si="2"/>
        <v>8.1600000000000019</v>
      </c>
      <c r="J7" s="8">
        <f t="shared" ref="J7:K10" si="3">F7-H7</f>
        <v>7.3399999999999981</v>
      </c>
      <c r="K7" s="8">
        <f t="shared" si="3"/>
        <v>-4.3600000000000012</v>
      </c>
      <c r="L7" s="242">
        <f t="shared" ref="L7:L10" si="4">$F$13-$F$14</f>
        <v>2.7199999999999971</v>
      </c>
      <c r="M7" s="242">
        <f t="shared" ref="M7:M10" si="5">$G$13-$F$14</f>
        <v>-2.7200000000000006</v>
      </c>
      <c r="N7" s="242">
        <f t="shared" ref="N7:O10" si="6">J7-L7</f>
        <v>4.620000000000001</v>
      </c>
      <c r="O7" s="242">
        <f t="shared" si="6"/>
        <v>-1.6400000000000006</v>
      </c>
    </row>
    <row r="8" spans="3:15" ht="22.5" customHeight="1">
      <c r="C8" s="237">
        <v>3</v>
      </c>
      <c r="D8" s="489">
        <v>36.9</v>
      </c>
      <c r="E8" s="489">
        <v>38.700000000000003</v>
      </c>
      <c r="F8" s="8">
        <f t="shared" si="0"/>
        <v>11.899999999999999</v>
      </c>
      <c r="G8" s="8">
        <f t="shared" si="1"/>
        <v>13.700000000000003</v>
      </c>
      <c r="H8" s="8">
        <f t="shared" si="2"/>
        <v>8.1600000000000019</v>
      </c>
      <c r="I8" s="8">
        <f t="shared" si="2"/>
        <v>8.1600000000000019</v>
      </c>
      <c r="J8" s="8">
        <f t="shared" si="3"/>
        <v>3.7399999999999967</v>
      </c>
      <c r="K8" s="8">
        <f t="shared" si="3"/>
        <v>5.5400000000000009</v>
      </c>
      <c r="L8" s="242">
        <f t="shared" si="4"/>
        <v>2.7199999999999971</v>
      </c>
      <c r="M8" s="242">
        <f t="shared" si="5"/>
        <v>-2.7200000000000006</v>
      </c>
      <c r="N8" s="242">
        <f t="shared" si="6"/>
        <v>1.0199999999999996</v>
      </c>
      <c r="O8" s="242">
        <f t="shared" si="6"/>
        <v>8.2600000000000016</v>
      </c>
    </row>
    <row r="9" spans="3:15" ht="22.5" customHeight="1">
      <c r="C9" s="237">
        <v>4</v>
      </c>
      <c r="D9" s="489">
        <v>32.200000000000003</v>
      </c>
      <c r="E9" s="489">
        <v>29.6</v>
      </c>
      <c r="F9" s="8">
        <f t="shared" si="0"/>
        <v>7.2000000000000028</v>
      </c>
      <c r="G9" s="8">
        <f t="shared" si="1"/>
        <v>4.6000000000000014</v>
      </c>
      <c r="H9" s="8">
        <f t="shared" si="2"/>
        <v>8.1600000000000019</v>
      </c>
      <c r="I9" s="8">
        <f t="shared" si="2"/>
        <v>8.1600000000000019</v>
      </c>
      <c r="J9" s="8">
        <f t="shared" si="3"/>
        <v>-0.95999999999999908</v>
      </c>
      <c r="K9" s="8">
        <f t="shared" si="3"/>
        <v>-3.5600000000000005</v>
      </c>
      <c r="L9" s="242">
        <f t="shared" si="4"/>
        <v>2.7199999999999971</v>
      </c>
      <c r="M9" s="242">
        <f t="shared" si="5"/>
        <v>-2.7200000000000006</v>
      </c>
      <c r="N9" s="242">
        <f t="shared" si="6"/>
        <v>-3.6799999999999962</v>
      </c>
      <c r="O9" s="242">
        <f t="shared" si="6"/>
        <v>-0.83999999999999986</v>
      </c>
    </row>
    <row r="10" spans="3:15" ht="22.5" customHeight="1">
      <c r="C10" s="237">
        <v>5</v>
      </c>
      <c r="D10" s="489">
        <v>31.4</v>
      </c>
      <c r="E10" s="490">
        <v>23</v>
      </c>
      <c r="F10" s="8">
        <f t="shared" si="0"/>
        <v>6.3999999999999986</v>
      </c>
      <c r="G10" s="100">
        <f t="shared" si="1"/>
        <v>-2</v>
      </c>
      <c r="H10" s="8">
        <f t="shared" si="2"/>
        <v>8.1600000000000019</v>
      </c>
      <c r="I10" s="8">
        <f t="shared" si="2"/>
        <v>8.1600000000000019</v>
      </c>
      <c r="J10" s="8">
        <f t="shared" si="3"/>
        <v>-1.7600000000000033</v>
      </c>
      <c r="K10" s="8">
        <f t="shared" si="3"/>
        <v>-10.160000000000002</v>
      </c>
      <c r="L10" s="242">
        <f t="shared" si="4"/>
        <v>2.7199999999999971</v>
      </c>
      <c r="M10" s="242">
        <f t="shared" si="5"/>
        <v>-2.7200000000000006</v>
      </c>
      <c r="N10" s="242">
        <f t="shared" si="6"/>
        <v>-4.4800000000000004</v>
      </c>
      <c r="O10" s="242">
        <f t="shared" si="6"/>
        <v>-7.4400000000000013</v>
      </c>
    </row>
    <row r="11" spans="3:15" ht="22.5" customHeight="1">
      <c r="C11" s="660" t="s">
        <v>28</v>
      </c>
      <c r="D11" s="8">
        <f>SUM(D6:D10)</f>
        <v>179.4</v>
      </c>
      <c r="E11" s="8">
        <f>SUM(E6:E10)</f>
        <v>152.20000000000002</v>
      </c>
      <c r="F11" s="8">
        <f t="shared" ref="F11:O11" si="7">SUM(F6:F10)</f>
        <v>54.4</v>
      </c>
      <c r="G11" s="8">
        <f t="shared" si="7"/>
        <v>27.200000000000006</v>
      </c>
      <c r="H11" s="8">
        <f t="shared" si="7"/>
        <v>40.800000000000011</v>
      </c>
      <c r="I11" s="8">
        <f t="shared" si="7"/>
        <v>40.800000000000011</v>
      </c>
      <c r="J11" s="8">
        <f t="shared" si="7"/>
        <v>13.599999999999991</v>
      </c>
      <c r="K11" s="8">
        <f t="shared" si="7"/>
        <v>-13.600000000000003</v>
      </c>
      <c r="L11" s="242">
        <f t="shared" si="7"/>
        <v>13.599999999999985</v>
      </c>
      <c r="M11" s="242">
        <f t="shared" si="7"/>
        <v>-13.600000000000003</v>
      </c>
      <c r="N11" s="242">
        <f t="shared" si="7"/>
        <v>0</v>
      </c>
      <c r="O11" s="242">
        <f t="shared" si="7"/>
        <v>0</v>
      </c>
    </row>
    <row r="12" spans="3:15" ht="22.5" customHeight="1">
      <c r="C12" s="661"/>
      <c r="D12" s="645">
        <f>SUM(D6:E10)</f>
        <v>331.6</v>
      </c>
      <c r="E12" s="664"/>
      <c r="F12" s="645">
        <f>SUM(F6:G10)</f>
        <v>81.600000000000023</v>
      </c>
      <c r="G12" s="664"/>
      <c r="H12" s="645">
        <f>SUM(H6:I10)</f>
        <v>81.600000000000009</v>
      </c>
      <c r="I12" s="664"/>
      <c r="J12" s="644">
        <f>SUM(J6:K10)</f>
        <v>-1.4210854715202004E-14</v>
      </c>
      <c r="K12" s="678"/>
      <c r="L12" s="676">
        <f>SUM(L6:M10)</f>
        <v>-1.7763568394002505E-14</v>
      </c>
      <c r="M12" s="677"/>
      <c r="N12" s="676">
        <f>SUM(N6:O10)</f>
        <v>0</v>
      </c>
      <c r="O12" s="677"/>
    </row>
    <row r="13" spans="3:15" ht="22.5" customHeight="1">
      <c r="C13" s="660" t="s">
        <v>53</v>
      </c>
      <c r="D13" s="8">
        <f>AVERAGE(D6:D10)</f>
        <v>35.880000000000003</v>
      </c>
      <c r="E13" s="8">
        <f>AVERAGE(E6:E10)</f>
        <v>30.440000000000005</v>
      </c>
      <c r="F13" s="8">
        <f t="shared" ref="F13:O13" si="8">AVERAGE(F6:F10)</f>
        <v>10.879999999999999</v>
      </c>
      <c r="G13" s="8">
        <f t="shared" si="8"/>
        <v>5.4400000000000013</v>
      </c>
      <c r="H13" s="8">
        <f t="shared" si="8"/>
        <v>8.1600000000000019</v>
      </c>
      <c r="I13" s="8">
        <f t="shared" si="8"/>
        <v>8.1600000000000019</v>
      </c>
      <c r="J13" s="8">
        <f t="shared" si="8"/>
        <v>2.719999999999998</v>
      </c>
      <c r="K13" s="8">
        <f t="shared" si="8"/>
        <v>-2.7200000000000006</v>
      </c>
      <c r="L13" s="241">
        <f t="shared" si="8"/>
        <v>2.7199999999999971</v>
      </c>
      <c r="M13" s="241">
        <f t="shared" si="8"/>
        <v>-2.7200000000000006</v>
      </c>
      <c r="N13" s="241">
        <f t="shared" si="8"/>
        <v>0</v>
      </c>
      <c r="O13" s="241">
        <f t="shared" si="8"/>
        <v>0</v>
      </c>
    </row>
    <row r="14" spans="3:15" ht="22.5" customHeight="1">
      <c r="C14" s="661"/>
      <c r="D14" s="645">
        <f>AVERAGE(D6:E10)</f>
        <v>33.160000000000004</v>
      </c>
      <c r="E14" s="664"/>
      <c r="F14" s="645">
        <f>AVERAGE(F6:G10)</f>
        <v>8.1600000000000019</v>
      </c>
      <c r="G14" s="664"/>
      <c r="H14" s="645">
        <f>AVERAGE(H6:I10)</f>
        <v>8.16</v>
      </c>
      <c r="I14" s="664"/>
      <c r="J14" s="644">
        <f>AVERAGE(J6:K10)</f>
        <v>-1.4210854715202005E-15</v>
      </c>
      <c r="K14" s="678"/>
      <c r="L14" s="679">
        <f>AVERAGE(L6:M10)</f>
        <v>-1.7763568394002505E-15</v>
      </c>
      <c r="M14" s="680"/>
      <c r="N14" s="679">
        <f>AVERAGE(N6:O10)</f>
        <v>0</v>
      </c>
      <c r="O14" s="680"/>
    </row>
    <row r="18" spans="3:7" ht="15" customHeight="1">
      <c r="C18" s="667"/>
      <c r="D18" s="646" t="s">
        <v>421</v>
      </c>
      <c r="E18" s="669"/>
      <c r="F18" s="670" t="s">
        <v>422</v>
      </c>
      <c r="G18" s="671"/>
    </row>
    <row r="19" spans="3:7" ht="15" customHeight="1">
      <c r="C19" s="668"/>
      <c r="D19" s="672" t="s">
        <v>423</v>
      </c>
      <c r="E19" s="673"/>
      <c r="F19" s="670" t="s">
        <v>424</v>
      </c>
      <c r="G19" s="671"/>
    </row>
    <row r="20" spans="3:7" ht="22.5" customHeight="1">
      <c r="C20" s="237"/>
      <c r="D20" s="488" t="s">
        <v>233</v>
      </c>
      <c r="E20" s="488" t="s">
        <v>234</v>
      </c>
      <c r="F20" s="234" t="s">
        <v>233</v>
      </c>
      <c r="G20" s="234" t="s">
        <v>234</v>
      </c>
    </row>
    <row r="21" spans="3:7" ht="22.5" customHeight="1">
      <c r="C21" s="237">
        <v>1</v>
      </c>
      <c r="D21" s="489">
        <v>38.4</v>
      </c>
      <c r="E21" s="489">
        <v>32.1</v>
      </c>
      <c r="F21" s="242">
        <f>D21-$F$1</f>
        <v>13.399999999999999</v>
      </c>
      <c r="G21" s="242">
        <f>E21-$G$1</f>
        <v>7.1000000000000014</v>
      </c>
    </row>
    <row r="22" spans="3:7" ht="22.5" customHeight="1">
      <c r="C22" s="237">
        <v>2</v>
      </c>
      <c r="D22" s="489">
        <v>40.5</v>
      </c>
      <c r="E22" s="489">
        <v>28.8</v>
      </c>
      <c r="F22" s="242">
        <f t="shared" ref="F22:F25" si="9">D22-$F$1</f>
        <v>15.5</v>
      </c>
      <c r="G22" s="242">
        <f t="shared" ref="G22:G25" si="10">E22-$G$1</f>
        <v>3.8000000000000007</v>
      </c>
    </row>
    <row r="23" spans="3:7" ht="22.5" customHeight="1">
      <c r="C23" s="237">
        <v>3</v>
      </c>
      <c r="D23" s="489">
        <v>36.9</v>
      </c>
      <c r="E23" s="489">
        <v>38.700000000000003</v>
      </c>
      <c r="F23" s="242">
        <f t="shared" si="9"/>
        <v>11.899999999999999</v>
      </c>
      <c r="G23" s="242">
        <f t="shared" si="10"/>
        <v>13.700000000000003</v>
      </c>
    </row>
    <row r="24" spans="3:7" ht="22.5" customHeight="1">
      <c r="C24" s="237">
        <v>4</v>
      </c>
      <c r="D24" s="489">
        <v>32.200000000000003</v>
      </c>
      <c r="E24" s="489">
        <v>29.6</v>
      </c>
      <c r="F24" s="242">
        <f t="shared" si="9"/>
        <v>7.2000000000000028</v>
      </c>
      <c r="G24" s="242">
        <f t="shared" si="10"/>
        <v>4.6000000000000014</v>
      </c>
    </row>
    <row r="25" spans="3:7" ht="22.5" customHeight="1">
      <c r="C25" s="237">
        <v>5</v>
      </c>
      <c r="D25" s="489">
        <v>31.4</v>
      </c>
      <c r="E25" s="490">
        <v>23</v>
      </c>
      <c r="F25" s="242">
        <f t="shared" si="9"/>
        <v>6.3999999999999986</v>
      </c>
      <c r="G25" s="239">
        <f t="shared" si="10"/>
        <v>-2</v>
      </c>
    </row>
    <row r="26" spans="3:7" ht="22.5" customHeight="1">
      <c r="C26" s="660" t="s">
        <v>28</v>
      </c>
      <c r="D26" s="8">
        <f>SUM(D21:D25)</f>
        <v>179.4</v>
      </c>
      <c r="E26" s="8">
        <f>SUM(E21:E25)</f>
        <v>152.20000000000002</v>
      </c>
      <c r="F26" s="242">
        <f t="shared" ref="F26:G26" si="11">SUM(F21:F25)</f>
        <v>54.4</v>
      </c>
      <c r="G26" s="242">
        <f t="shared" si="11"/>
        <v>27.200000000000006</v>
      </c>
    </row>
    <row r="27" spans="3:7" ht="22.5" customHeight="1">
      <c r="C27" s="661"/>
      <c r="D27" s="645">
        <f>SUM(D21:E25)</f>
        <v>331.6</v>
      </c>
      <c r="E27" s="664"/>
      <c r="F27" s="674">
        <f>SUM(F21:G25)</f>
        <v>81.600000000000023</v>
      </c>
      <c r="G27" s="675"/>
    </row>
    <row r="28" spans="3:7" ht="22.5" customHeight="1">
      <c r="C28" s="660" t="s">
        <v>53</v>
      </c>
      <c r="D28" s="8">
        <f>AVERAGE(D21:D25)</f>
        <v>35.880000000000003</v>
      </c>
      <c r="E28" s="8">
        <f>AVERAGE(E21:E25)</f>
        <v>30.440000000000005</v>
      </c>
      <c r="F28" s="241">
        <f t="shared" ref="F28:G28" si="12">AVERAGE(F21:F25)</f>
        <v>10.879999999999999</v>
      </c>
      <c r="G28" s="241">
        <f t="shared" si="12"/>
        <v>5.4400000000000013</v>
      </c>
    </row>
    <row r="29" spans="3:7" ht="22.5" customHeight="1">
      <c r="C29" s="661"/>
      <c r="D29" s="645">
        <f>AVERAGE(D21:E25)</f>
        <v>33.160000000000004</v>
      </c>
      <c r="E29" s="664"/>
      <c r="F29" s="665">
        <f>AVERAGE(F21:G25)</f>
        <v>8.1600000000000019</v>
      </c>
      <c r="G29" s="666"/>
    </row>
    <row r="34" spans="3:24" ht="22.5" customHeight="1">
      <c r="C34" s="635"/>
      <c r="D34" s="637" t="s">
        <v>365</v>
      </c>
      <c r="E34" s="637"/>
      <c r="F34" s="637" t="s">
        <v>367</v>
      </c>
      <c r="G34" s="637"/>
      <c r="H34" s="637" t="s">
        <v>369</v>
      </c>
      <c r="I34" s="646"/>
      <c r="J34" s="638" t="s">
        <v>430</v>
      </c>
      <c r="K34" s="638"/>
      <c r="L34" s="638" t="s">
        <v>431</v>
      </c>
      <c r="M34" s="638"/>
      <c r="N34" s="638" t="s">
        <v>394</v>
      </c>
      <c r="O34" s="638"/>
    </row>
    <row r="35" spans="3:24" ht="22.5" customHeight="1">
      <c r="C35" s="635"/>
      <c r="D35" s="8" t="s">
        <v>424</v>
      </c>
      <c r="E35" s="8"/>
      <c r="F35" s="635" t="s">
        <v>428</v>
      </c>
      <c r="G35" s="635"/>
      <c r="H35" s="635" t="s">
        <v>429</v>
      </c>
      <c r="I35" s="645"/>
      <c r="J35" s="632" t="s">
        <v>414</v>
      </c>
      <c r="K35" s="632"/>
      <c r="L35" s="632" t="s">
        <v>432</v>
      </c>
      <c r="M35" s="632"/>
      <c r="N35" s="632" t="s">
        <v>433</v>
      </c>
      <c r="O35" s="632"/>
      <c r="R35" s="360" t="s">
        <v>365</v>
      </c>
      <c r="S35" s="360" t="s">
        <v>367</v>
      </c>
      <c r="T35" s="360" t="s">
        <v>369</v>
      </c>
      <c r="U35" s="509" t="s">
        <v>372</v>
      </c>
      <c r="V35" s="509" t="s">
        <v>374</v>
      </c>
      <c r="W35" s="509" t="s">
        <v>408</v>
      </c>
      <c r="X35" s="509" t="s">
        <v>472</v>
      </c>
    </row>
    <row r="36" spans="3:24" ht="22.5" customHeight="1">
      <c r="C36" s="237"/>
      <c r="D36" s="334" t="s">
        <v>233</v>
      </c>
      <c r="E36" s="334" t="s">
        <v>434</v>
      </c>
      <c r="F36" s="334" t="s">
        <v>233</v>
      </c>
      <c r="G36" s="334" t="s">
        <v>434</v>
      </c>
      <c r="H36" s="334" t="s">
        <v>233</v>
      </c>
      <c r="I36" s="491" t="s">
        <v>434</v>
      </c>
      <c r="J36" s="243" t="s">
        <v>233</v>
      </c>
      <c r="K36" s="243" t="s">
        <v>434</v>
      </c>
      <c r="L36" s="243" t="s">
        <v>233</v>
      </c>
      <c r="M36" s="243" t="s">
        <v>434</v>
      </c>
      <c r="N36" s="243" t="s">
        <v>233</v>
      </c>
      <c r="O36" s="243" t="s">
        <v>434</v>
      </c>
      <c r="R36" s="331"/>
      <c r="S36" s="457" t="s">
        <v>460</v>
      </c>
      <c r="T36" s="457" t="s">
        <v>461</v>
      </c>
      <c r="U36" s="457" t="s">
        <v>462</v>
      </c>
      <c r="V36" s="457" t="s">
        <v>463</v>
      </c>
      <c r="W36" s="457" t="s">
        <v>464</v>
      </c>
      <c r="X36" s="457" t="s">
        <v>465</v>
      </c>
    </row>
    <row r="37" spans="3:24" ht="22.5" customHeight="1">
      <c r="C37" s="237">
        <v>1</v>
      </c>
      <c r="D37" s="8">
        <v>13.399999999999999</v>
      </c>
      <c r="E37" s="8">
        <v>7.1000000000000014</v>
      </c>
      <c r="F37" s="8">
        <v>8.1600000000000019</v>
      </c>
      <c r="G37" s="8">
        <v>8.1600000000000019</v>
      </c>
      <c r="H37" s="8">
        <v>5.2399999999999967</v>
      </c>
      <c r="I37" s="313">
        <v>-1.0600000000000005</v>
      </c>
      <c r="J37" s="487">
        <f>ROUND(D37^2,3)</f>
        <v>179.56</v>
      </c>
      <c r="K37" s="487">
        <f t="shared" ref="K37:K41" si="13">ROUND(E37^2,3)</f>
        <v>50.41</v>
      </c>
      <c r="L37" s="487">
        <f>ROUND(F37^2,4)</f>
        <v>66.585599999999999</v>
      </c>
      <c r="M37" s="487">
        <f t="shared" ref="M37:O41" si="14">ROUND(G37^2,4)</f>
        <v>66.585599999999999</v>
      </c>
      <c r="N37" s="487">
        <f t="shared" si="14"/>
        <v>27.457599999999999</v>
      </c>
      <c r="O37" s="487">
        <f t="shared" si="14"/>
        <v>1.1235999999999999</v>
      </c>
      <c r="R37" s="286" t="s">
        <v>466</v>
      </c>
      <c r="S37" s="65">
        <v>1</v>
      </c>
      <c r="T37" s="424">
        <f>L43</f>
        <v>665.85599999999999</v>
      </c>
      <c r="U37" s="508">
        <f>T37/S37</f>
        <v>665.85599999999999</v>
      </c>
      <c r="V37" s="383">
        <f>U37/U39</f>
        <v>27.732444814660553</v>
      </c>
      <c r="W37" s="508">
        <f>T37-S37*$U$39</f>
        <v>641.846</v>
      </c>
      <c r="X37" s="383">
        <f>W37/$W$40*100</f>
        <v>68.873508455661423</v>
      </c>
    </row>
    <row r="38" spans="3:24" ht="22.5" customHeight="1">
      <c r="C38" s="237">
        <v>2</v>
      </c>
      <c r="D38" s="8">
        <v>15.5</v>
      </c>
      <c r="E38" s="8">
        <v>3.8000000000000007</v>
      </c>
      <c r="F38" s="8">
        <v>8.1600000000000019</v>
      </c>
      <c r="G38" s="8">
        <v>8.1600000000000019</v>
      </c>
      <c r="H38" s="8">
        <v>7.3399999999999981</v>
      </c>
      <c r="I38" s="313">
        <v>-4.3600000000000012</v>
      </c>
      <c r="J38" s="487">
        <f t="shared" ref="J38:J41" si="15">ROUND(D38^2,3)</f>
        <v>240.25</v>
      </c>
      <c r="K38" s="487">
        <f t="shared" si="13"/>
        <v>14.44</v>
      </c>
      <c r="L38" s="487">
        <f t="shared" ref="L38:L41" si="16">ROUND(F38^2,4)</f>
        <v>66.585599999999999</v>
      </c>
      <c r="M38" s="487">
        <f t="shared" si="14"/>
        <v>66.585599999999999</v>
      </c>
      <c r="N38" s="487">
        <f t="shared" si="14"/>
        <v>53.875599999999999</v>
      </c>
      <c r="O38" s="487">
        <f t="shared" si="14"/>
        <v>19.009599999999999</v>
      </c>
      <c r="R38" s="286" t="s">
        <v>467</v>
      </c>
      <c r="S38" s="65">
        <v>1</v>
      </c>
      <c r="T38" s="424">
        <f>F56</f>
        <v>73.983999999999952</v>
      </c>
      <c r="U38" s="508">
        <f>T38/S38</f>
        <v>73.983999999999952</v>
      </c>
      <c r="V38" s="383">
        <f>U38/U39</f>
        <v>3.0813827571845036</v>
      </c>
      <c r="W38" s="508">
        <f>T38-S38*$U$39</f>
        <v>49.973999999999947</v>
      </c>
      <c r="X38" s="383">
        <f t="shared" ref="X38:X39" si="17">W38/$W$40*100</f>
        <v>5.3624774658768937</v>
      </c>
    </row>
    <row r="39" spans="3:24" ht="22.5" customHeight="1">
      <c r="C39" s="237">
        <v>3</v>
      </c>
      <c r="D39" s="8">
        <v>11.899999999999999</v>
      </c>
      <c r="E39" s="8">
        <v>13.700000000000003</v>
      </c>
      <c r="F39" s="8">
        <v>8.1600000000000019</v>
      </c>
      <c r="G39" s="8">
        <v>8.1600000000000019</v>
      </c>
      <c r="H39" s="8">
        <v>3.7399999999999967</v>
      </c>
      <c r="I39" s="313">
        <v>5.5400000000000009</v>
      </c>
      <c r="J39" s="487">
        <f t="shared" si="15"/>
        <v>141.61000000000001</v>
      </c>
      <c r="K39" s="487">
        <f t="shared" si="13"/>
        <v>187.69</v>
      </c>
      <c r="L39" s="487">
        <f t="shared" si="16"/>
        <v>66.585599999999999</v>
      </c>
      <c r="M39" s="487">
        <f t="shared" si="14"/>
        <v>66.585599999999999</v>
      </c>
      <c r="N39" s="487">
        <f t="shared" si="14"/>
        <v>13.9876</v>
      </c>
      <c r="O39" s="487">
        <f t="shared" si="14"/>
        <v>30.691600000000001</v>
      </c>
      <c r="R39" s="286" t="s">
        <v>468</v>
      </c>
      <c r="S39" s="65">
        <v>8</v>
      </c>
      <c r="T39" s="424">
        <f>H56</f>
        <v>192.08000000000004</v>
      </c>
      <c r="U39" s="424">
        <f>T39/S39</f>
        <v>24.010000000000005</v>
      </c>
      <c r="V39" s="65"/>
      <c r="W39" s="425">
        <f>W40-W37-W38</f>
        <v>240.10000000000014</v>
      </c>
      <c r="X39" s="383">
        <f t="shared" si="17"/>
        <v>25.764014078461685</v>
      </c>
    </row>
    <row r="40" spans="3:24" ht="22.5" customHeight="1">
      <c r="C40" s="237">
        <v>4</v>
      </c>
      <c r="D40" s="8">
        <v>7.2000000000000028</v>
      </c>
      <c r="E40" s="8">
        <v>4.6000000000000014</v>
      </c>
      <c r="F40" s="8">
        <v>8.1600000000000019</v>
      </c>
      <c r="G40" s="8">
        <v>8.1600000000000019</v>
      </c>
      <c r="H40" s="8">
        <v>-0.95999999999999908</v>
      </c>
      <c r="I40" s="313">
        <v>-3.5600000000000005</v>
      </c>
      <c r="J40" s="487">
        <f t="shared" si="15"/>
        <v>51.84</v>
      </c>
      <c r="K40" s="487">
        <f t="shared" si="13"/>
        <v>21.16</v>
      </c>
      <c r="L40" s="487">
        <f t="shared" si="16"/>
        <v>66.585599999999999</v>
      </c>
      <c r="M40" s="487">
        <f t="shared" si="14"/>
        <v>66.585599999999999</v>
      </c>
      <c r="N40" s="487">
        <f t="shared" si="14"/>
        <v>0.92159999999999997</v>
      </c>
      <c r="O40" s="487">
        <f t="shared" si="14"/>
        <v>12.6736</v>
      </c>
      <c r="R40" s="286" t="s">
        <v>469</v>
      </c>
      <c r="S40" s="65">
        <v>10</v>
      </c>
      <c r="T40" s="424">
        <f>J43</f>
        <v>931.92000000000007</v>
      </c>
      <c r="U40" s="65"/>
      <c r="V40" s="65"/>
      <c r="W40" s="424">
        <f>T40</f>
        <v>931.92000000000007</v>
      </c>
      <c r="X40" s="65"/>
    </row>
    <row r="41" spans="3:24" ht="22.5" customHeight="1">
      <c r="C41" s="237">
        <v>5</v>
      </c>
      <c r="D41" s="8">
        <v>6.3999999999999986</v>
      </c>
      <c r="E41" s="8">
        <v>-2</v>
      </c>
      <c r="F41" s="8">
        <v>8.1600000000000019</v>
      </c>
      <c r="G41" s="8">
        <v>8.1600000000000019</v>
      </c>
      <c r="H41" s="8">
        <v>-1.7600000000000033</v>
      </c>
      <c r="I41" s="313">
        <v>-10.160000000000002</v>
      </c>
      <c r="J41" s="487">
        <f t="shared" si="15"/>
        <v>40.96</v>
      </c>
      <c r="K41" s="487">
        <f t="shared" si="13"/>
        <v>4</v>
      </c>
      <c r="L41" s="487">
        <f t="shared" si="16"/>
        <v>66.585599999999999</v>
      </c>
      <c r="M41" s="487">
        <f t="shared" si="14"/>
        <v>66.585599999999999</v>
      </c>
      <c r="N41" s="487">
        <f t="shared" si="14"/>
        <v>3.0975999999999999</v>
      </c>
      <c r="O41" s="487">
        <f t="shared" si="14"/>
        <v>103.2256</v>
      </c>
    </row>
    <row r="42" spans="3:24" ht="22.5" customHeight="1">
      <c r="C42" s="632" t="s">
        <v>28</v>
      </c>
      <c r="D42" s="8">
        <v>54.4</v>
      </c>
      <c r="E42" s="8">
        <v>27.200000000000006</v>
      </c>
      <c r="F42" s="8">
        <v>40.800000000000011</v>
      </c>
      <c r="G42" s="8">
        <v>40.800000000000011</v>
      </c>
      <c r="H42" s="8">
        <v>13.599999999999991</v>
      </c>
      <c r="I42" s="313">
        <v>-13.600000000000003</v>
      </c>
      <c r="J42" s="492">
        <f t="shared" ref="J42:O42" si="18">SUM(J37:J41)</f>
        <v>654.22000000000014</v>
      </c>
      <c r="K42" s="492">
        <f t="shared" si="18"/>
        <v>277.7</v>
      </c>
      <c r="L42" s="492">
        <f t="shared" si="18"/>
        <v>332.928</v>
      </c>
      <c r="M42" s="492">
        <f t="shared" si="18"/>
        <v>332.928</v>
      </c>
      <c r="N42" s="241">
        <f t="shared" si="18"/>
        <v>99.34</v>
      </c>
      <c r="O42" s="241">
        <f t="shared" si="18"/>
        <v>166.72399999999999</v>
      </c>
    </row>
    <row r="43" spans="3:24" ht="22.5" customHeight="1">
      <c r="C43" s="632"/>
      <c r="D43" s="635">
        <v>81.600000000000023</v>
      </c>
      <c r="E43" s="635"/>
      <c r="F43" s="635">
        <v>81.600000000000009</v>
      </c>
      <c r="G43" s="635"/>
      <c r="H43" s="643">
        <v>-1.4210854715202004E-14</v>
      </c>
      <c r="I43" s="644"/>
      <c r="J43" s="642">
        <f>SUM(J37:K41)</f>
        <v>931.92000000000007</v>
      </c>
      <c r="K43" s="642"/>
      <c r="L43" s="642">
        <f>SUM(L37:M41)</f>
        <v>665.85599999999999</v>
      </c>
      <c r="M43" s="642"/>
      <c r="N43" s="642">
        <f>SUM(N37:O41)</f>
        <v>266.06400000000002</v>
      </c>
      <c r="O43" s="642"/>
    </row>
    <row r="47" spans="3:24" ht="22.5" customHeight="1">
      <c r="C47" s="103"/>
    </row>
    <row r="48" spans="3:24" ht="22.5" customHeight="1">
      <c r="C48" s="660"/>
      <c r="D48" s="635" t="s">
        <v>433</v>
      </c>
      <c r="E48" s="635"/>
      <c r="F48" s="632" t="s">
        <v>440</v>
      </c>
      <c r="G48" s="632"/>
      <c r="H48" s="662" t="s">
        <v>442</v>
      </c>
      <c r="I48" s="663"/>
    </row>
    <row r="49" spans="3:9" ht="22.5" customHeight="1">
      <c r="C49" s="661"/>
      <c r="D49" s="334" t="s">
        <v>233</v>
      </c>
      <c r="E49" s="334" t="s">
        <v>434</v>
      </c>
      <c r="F49" s="243" t="s">
        <v>233</v>
      </c>
      <c r="G49" s="243" t="s">
        <v>434</v>
      </c>
      <c r="H49" s="243" t="s">
        <v>233</v>
      </c>
      <c r="I49" s="243" t="s">
        <v>434</v>
      </c>
    </row>
    <row r="50" spans="3:9" ht="22.5" customHeight="1">
      <c r="C50" s="237">
        <v>1</v>
      </c>
      <c r="D50" s="8">
        <v>27.457599999999999</v>
      </c>
      <c r="E50" s="8">
        <v>1.1235999999999999</v>
      </c>
      <c r="F50" s="242">
        <f t="shared" ref="F50:I54" si="19">L6^2</f>
        <v>7.3983999999999845</v>
      </c>
      <c r="G50" s="242">
        <f t="shared" si="19"/>
        <v>7.3984000000000032</v>
      </c>
      <c r="H50" s="242">
        <f t="shared" si="19"/>
        <v>6.3503999999999978</v>
      </c>
      <c r="I50" s="242">
        <f t="shared" si="19"/>
        <v>2.7556000000000003</v>
      </c>
    </row>
    <row r="51" spans="3:9" ht="22.5" customHeight="1">
      <c r="C51" s="237">
        <v>2</v>
      </c>
      <c r="D51" s="8">
        <v>53.875599999999999</v>
      </c>
      <c r="E51" s="8">
        <v>19.009599999999999</v>
      </c>
      <c r="F51" s="242">
        <f t="shared" si="19"/>
        <v>7.3983999999999845</v>
      </c>
      <c r="G51" s="242">
        <f t="shared" si="19"/>
        <v>7.3984000000000032</v>
      </c>
      <c r="H51" s="242">
        <f t="shared" si="19"/>
        <v>21.344400000000011</v>
      </c>
      <c r="I51" s="242">
        <f t="shared" si="19"/>
        <v>2.6896000000000018</v>
      </c>
    </row>
    <row r="52" spans="3:9" ht="22.5" customHeight="1">
      <c r="C52" s="237">
        <v>3</v>
      </c>
      <c r="D52" s="8">
        <v>13.9876</v>
      </c>
      <c r="E52" s="8">
        <v>30.691600000000001</v>
      </c>
      <c r="F52" s="242">
        <f t="shared" si="19"/>
        <v>7.3983999999999845</v>
      </c>
      <c r="G52" s="242">
        <f t="shared" si="19"/>
        <v>7.3984000000000032</v>
      </c>
      <c r="H52" s="242">
        <f t="shared" si="19"/>
        <v>1.0403999999999991</v>
      </c>
      <c r="I52" s="242">
        <f t="shared" si="19"/>
        <v>68.227600000000024</v>
      </c>
    </row>
    <row r="53" spans="3:9" ht="22.5" customHeight="1">
      <c r="C53" s="237">
        <v>4</v>
      </c>
      <c r="D53" s="8">
        <v>0.92159999999999997</v>
      </c>
      <c r="E53" s="8">
        <v>12.6736</v>
      </c>
      <c r="F53" s="242">
        <f t="shared" si="19"/>
        <v>7.3983999999999845</v>
      </c>
      <c r="G53" s="242">
        <f t="shared" si="19"/>
        <v>7.3984000000000032</v>
      </c>
      <c r="H53" s="242">
        <f t="shared" si="19"/>
        <v>13.542399999999972</v>
      </c>
      <c r="I53" s="242">
        <f t="shared" si="19"/>
        <v>0.70559999999999978</v>
      </c>
    </row>
    <row r="54" spans="3:9" ht="22.5" customHeight="1">
      <c r="C54" s="237">
        <v>5</v>
      </c>
      <c r="D54" s="8">
        <v>3.0975999999999999</v>
      </c>
      <c r="E54" s="8">
        <v>103.2256</v>
      </c>
      <c r="F54" s="242">
        <f t="shared" si="19"/>
        <v>7.3983999999999845</v>
      </c>
      <c r="G54" s="242">
        <f t="shared" si="19"/>
        <v>7.3984000000000032</v>
      </c>
      <c r="H54" s="242">
        <f t="shared" si="19"/>
        <v>20.070400000000003</v>
      </c>
      <c r="I54" s="242">
        <f t="shared" si="19"/>
        <v>55.353600000000021</v>
      </c>
    </row>
    <row r="55" spans="3:9" ht="22.5" customHeight="1">
      <c r="C55" s="632" t="s">
        <v>28</v>
      </c>
      <c r="D55" s="8">
        <v>99.34</v>
      </c>
      <c r="E55" s="8">
        <v>166.72399999999999</v>
      </c>
      <c r="F55" s="492">
        <f t="shared" ref="F55:I55" si="20">SUM(F50:F54)</f>
        <v>36.991999999999919</v>
      </c>
      <c r="G55" s="492">
        <f t="shared" si="20"/>
        <v>36.992000000000019</v>
      </c>
      <c r="H55" s="492">
        <f t="shared" si="20"/>
        <v>62.347999999999985</v>
      </c>
      <c r="I55" s="492">
        <f t="shared" si="20"/>
        <v>129.73200000000006</v>
      </c>
    </row>
    <row r="56" spans="3:9" ht="22.5" customHeight="1">
      <c r="C56" s="632"/>
      <c r="D56" s="635">
        <v>266.06400000000002</v>
      </c>
      <c r="E56" s="635"/>
      <c r="F56" s="642">
        <f>SUM(F50:G54)</f>
        <v>73.983999999999952</v>
      </c>
      <c r="G56" s="642"/>
      <c r="H56" s="642">
        <f>SUM(H50:I54)</f>
        <v>192.08000000000004</v>
      </c>
      <c r="I56" s="642"/>
    </row>
    <row r="60" spans="3:9" ht="22.5" customHeight="1">
      <c r="C60" s="632"/>
      <c r="D60" s="632" t="s">
        <v>439</v>
      </c>
      <c r="E60" s="632"/>
      <c r="F60" s="632" t="s">
        <v>440</v>
      </c>
      <c r="G60" s="632"/>
    </row>
    <row r="61" spans="3:9" ht="22.5" customHeight="1">
      <c r="C61" s="632"/>
      <c r="D61" s="234" t="s">
        <v>233</v>
      </c>
      <c r="E61" s="234" t="s">
        <v>234</v>
      </c>
      <c r="F61" s="243" t="s">
        <v>233</v>
      </c>
      <c r="G61" s="243" t="s">
        <v>434</v>
      </c>
    </row>
    <row r="62" spans="3:9" ht="22.5" customHeight="1">
      <c r="C62" s="237">
        <v>1</v>
      </c>
      <c r="D62" s="8">
        <f>$F$13-$F$14</f>
        <v>2.7199999999999971</v>
      </c>
      <c r="E62" s="8">
        <f>$G$13-$F$14</f>
        <v>-2.7200000000000006</v>
      </c>
      <c r="F62" s="487">
        <v>7.3983999999999845</v>
      </c>
      <c r="G62" s="487">
        <v>7.3984000000000032</v>
      </c>
    </row>
    <row r="63" spans="3:9" ht="22.5" customHeight="1">
      <c r="C63" s="237">
        <v>2</v>
      </c>
      <c r="D63" s="8">
        <f>$F$13-$F$14</f>
        <v>2.7199999999999971</v>
      </c>
      <c r="E63" s="8">
        <f>$G$13-$F$14</f>
        <v>-2.7200000000000006</v>
      </c>
      <c r="F63" s="487">
        <v>7.3983999999999845</v>
      </c>
      <c r="G63" s="487">
        <v>7.3984000000000032</v>
      </c>
    </row>
    <row r="64" spans="3:9" ht="22.5" customHeight="1">
      <c r="C64" s="237">
        <v>3</v>
      </c>
      <c r="D64" s="8">
        <f>$F$13-$F$14</f>
        <v>2.7199999999999971</v>
      </c>
      <c r="E64" s="8">
        <f>$G$13-$F$14</f>
        <v>-2.7200000000000006</v>
      </c>
      <c r="F64" s="487">
        <v>7.3983999999999845</v>
      </c>
      <c r="G64" s="487">
        <v>7.3984000000000032</v>
      </c>
    </row>
    <row r="65" spans="3:7" ht="22.5" customHeight="1">
      <c r="C65" s="237">
        <v>4</v>
      </c>
      <c r="D65" s="8">
        <f>$F$13-$F$14</f>
        <v>2.7199999999999971</v>
      </c>
      <c r="E65" s="8">
        <f>$G$13-$F$14</f>
        <v>-2.7200000000000006</v>
      </c>
      <c r="F65" s="487">
        <v>7.3983999999999845</v>
      </c>
      <c r="G65" s="487">
        <v>7.3984000000000032</v>
      </c>
    </row>
    <row r="66" spans="3:7" ht="22.5" customHeight="1">
      <c r="C66" s="237">
        <v>5</v>
      </c>
      <c r="D66" s="8">
        <f>$F$13-$F$14</f>
        <v>2.7199999999999971</v>
      </c>
      <c r="E66" s="8">
        <f>$G$13-$F$14</f>
        <v>-2.7200000000000006</v>
      </c>
      <c r="F66" s="487">
        <v>7.3983999999999845</v>
      </c>
      <c r="G66" s="487">
        <v>7.3984000000000032</v>
      </c>
    </row>
    <row r="67" spans="3:7" ht="22.5" customHeight="1">
      <c r="C67" s="632" t="s">
        <v>28</v>
      </c>
      <c r="D67" s="8">
        <f t="shared" ref="D67:G67" si="21">SUM(D62:D66)</f>
        <v>13.599999999999985</v>
      </c>
      <c r="E67" s="8">
        <f t="shared" si="21"/>
        <v>-13.600000000000003</v>
      </c>
      <c r="F67" s="492">
        <f t="shared" si="21"/>
        <v>36.991999999999919</v>
      </c>
      <c r="G67" s="492">
        <f t="shared" si="21"/>
        <v>36.992000000000019</v>
      </c>
    </row>
    <row r="68" spans="3:7" ht="22.5" customHeight="1">
      <c r="C68" s="632"/>
      <c r="D68" s="643">
        <f>SUM(D62:E66)</f>
        <v>-1.7763568394002505E-14</v>
      </c>
      <c r="E68" s="643"/>
      <c r="F68" s="642">
        <f>SUM(F62:G66)</f>
        <v>73.983999999999952</v>
      </c>
      <c r="G68" s="642"/>
    </row>
    <row r="72" spans="3:7" ht="22.5" customHeight="1">
      <c r="C72" s="632"/>
      <c r="D72" s="632" t="s">
        <v>441</v>
      </c>
      <c r="E72" s="632"/>
      <c r="F72" s="632" t="s">
        <v>442</v>
      </c>
      <c r="G72" s="632"/>
    </row>
    <row r="73" spans="3:7" ht="22.5" customHeight="1">
      <c r="C73" s="632"/>
      <c r="D73" s="234" t="s">
        <v>233</v>
      </c>
      <c r="E73" s="234" t="s">
        <v>234</v>
      </c>
      <c r="F73" s="243" t="s">
        <v>233</v>
      </c>
      <c r="G73" s="243" t="s">
        <v>434</v>
      </c>
    </row>
    <row r="74" spans="3:7" ht="22.5" customHeight="1">
      <c r="C74" s="237">
        <v>1</v>
      </c>
      <c r="D74" s="8">
        <v>2.5199999999999996</v>
      </c>
      <c r="E74" s="8">
        <v>1.6600000000000001</v>
      </c>
      <c r="F74" s="487">
        <v>6.3503999999999978</v>
      </c>
      <c r="G74" s="487">
        <v>2.7556000000000003</v>
      </c>
    </row>
    <row r="75" spans="3:7" ht="22.5" customHeight="1">
      <c r="C75" s="237">
        <v>2</v>
      </c>
      <c r="D75" s="8">
        <v>4.620000000000001</v>
      </c>
      <c r="E75" s="8">
        <v>-1.6400000000000006</v>
      </c>
      <c r="F75" s="487">
        <v>21.344400000000011</v>
      </c>
      <c r="G75" s="487">
        <v>2.6896000000000018</v>
      </c>
    </row>
    <row r="76" spans="3:7" ht="22.5" customHeight="1">
      <c r="C76" s="237">
        <v>3</v>
      </c>
      <c r="D76" s="8">
        <v>1.0199999999999996</v>
      </c>
      <c r="E76" s="8">
        <v>8.2600000000000016</v>
      </c>
      <c r="F76" s="487">
        <v>1.0403999999999991</v>
      </c>
      <c r="G76" s="487">
        <v>68.227600000000024</v>
      </c>
    </row>
    <row r="77" spans="3:7" ht="22.5" customHeight="1">
      <c r="C77" s="237">
        <v>4</v>
      </c>
      <c r="D77" s="8">
        <v>-3.6799999999999962</v>
      </c>
      <c r="E77" s="8">
        <v>-0.83999999999999986</v>
      </c>
      <c r="F77" s="487">
        <v>13.542399999999972</v>
      </c>
      <c r="G77" s="487">
        <v>0.70559999999999978</v>
      </c>
    </row>
    <row r="78" spans="3:7" ht="22.5" customHeight="1">
      <c r="C78" s="237">
        <v>5</v>
      </c>
      <c r="D78" s="8">
        <v>-4.4800000000000004</v>
      </c>
      <c r="E78" s="8">
        <v>-7.4400000000000013</v>
      </c>
      <c r="F78" s="487">
        <v>20.070400000000003</v>
      </c>
      <c r="G78" s="487">
        <v>55.353600000000021</v>
      </c>
    </row>
    <row r="79" spans="3:7" ht="22.5" customHeight="1">
      <c r="C79" s="632" t="s">
        <v>28</v>
      </c>
      <c r="D79" s="8">
        <f t="shared" ref="D79:G79" si="22">SUM(D74:D78)</f>
        <v>0</v>
      </c>
      <c r="E79" s="8">
        <f t="shared" si="22"/>
        <v>0</v>
      </c>
      <c r="F79" s="492">
        <f t="shared" si="22"/>
        <v>62.347999999999985</v>
      </c>
      <c r="G79" s="492">
        <f t="shared" si="22"/>
        <v>129.73200000000006</v>
      </c>
    </row>
    <row r="80" spans="3:7" ht="22.5" customHeight="1">
      <c r="C80" s="632"/>
      <c r="D80" s="643">
        <f>SUM(D74:E78)</f>
        <v>0</v>
      </c>
      <c r="E80" s="643"/>
      <c r="F80" s="642">
        <f>SUM(F74:G78)</f>
        <v>192.08000000000004</v>
      </c>
      <c r="G80" s="642"/>
    </row>
  </sheetData>
  <mergeCells count="77">
    <mergeCell ref="C3:C4"/>
    <mergeCell ref="D3:E3"/>
    <mergeCell ref="F3:G3"/>
    <mergeCell ref="H3:I3"/>
    <mergeCell ref="J3:K3"/>
    <mergeCell ref="L12:M12"/>
    <mergeCell ref="N3:O3"/>
    <mergeCell ref="D4:E4"/>
    <mergeCell ref="F4:G4"/>
    <mergeCell ref="H4:I4"/>
    <mergeCell ref="J4:K4"/>
    <mergeCell ref="L4:M4"/>
    <mergeCell ref="N4:O4"/>
    <mergeCell ref="L3:M3"/>
    <mergeCell ref="C26:C27"/>
    <mergeCell ref="D27:E27"/>
    <mergeCell ref="F27:G27"/>
    <mergeCell ref="N12:O12"/>
    <mergeCell ref="C13:C14"/>
    <mergeCell ref="D14:E14"/>
    <mergeCell ref="F14:G14"/>
    <mergeCell ref="H14:I14"/>
    <mergeCell ref="J14:K14"/>
    <mergeCell ref="L14:M14"/>
    <mergeCell ref="N14:O14"/>
    <mergeCell ref="C11:C12"/>
    <mergeCell ref="D12:E12"/>
    <mergeCell ref="F12:G12"/>
    <mergeCell ref="H12:I12"/>
    <mergeCell ref="J12:K12"/>
    <mergeCell ref="C18:C19"/>
    <mergeCell ref="D18:E18"/>
    <mergeCell ref="F18:G18"/>
    <mergeCell ref="D19:E19"/>
    <mergeCell ref="F19:G19"/>
    <mergeCell ref="C28:C29"/>
    <mergeCell ref="D29:E29"/>
    <mergeCell ref="F29:G29"/>
    <mergeCell ref="C34:C35"/>
    <mergeCell ref="D34:E34"/>
    <mergeCell ref="F34:G34"/>
    <mergeCell ref="H34:I34"/>
    <mergeCell ref="J34:K34"/>
    <mergeCell ref="L34:M34"/>
    <mergeCell ref="N34:O34"/>
    <mergeCell ref="F35:G35"/>
    <mergeCell ref="H35:I35"/>
    <mergeCell ref="J35:K35"/>
    <mergeCell ref="L35:M35"/>
    <mergeCell ref="N35:O35"/>
    <mergeCell ref="C55:C56"/>
    <mergeCell ref="D56:E56"/>
    <mergeCell ref="F56:G56"/>
    <mergeCell ref="H56:I56"/>
    <mergeCell ref="C42:C43"/>
    <mergeCell ref="D43:E43"/>
    <mergeCell ref="F43:G43"/>
    <mergeCell ref="H43:I43"/>
    <mergeCell ref="N43:O43"/>
    <mergeCell ref="C48:C49"/>
    <mergeCell ref="D48:E48"/>
    <mergeCell ref="F48:G48"/>
    <mergeCell ref="H48:I48"/>
    <mergeCell ref="J43:K43"/>
    <mergeCell ref="L43:M43"/>
    <mergeCell ref="C60:C61"/>
    <mergeCell ref="D60:E60"/>
    <mergeCell ref="F60:G60"/>
    <mergeCell ref="C67:C68"/>
    <mergeCell ref="D68:E68"/>
    <mergeCell ref="F68:G68"/>
    <mergeCell ref="C72:C73"/>
    <mergeCell ref="D72:E72"/>
    <mergeCell ref="F72:G72"/>
    <mergeCell ref="C79:C80"/>
    <mergeCell ref="D80:E80"/>
    <mergeCell ref="F80:G80"/>
  </mergeCells>
  <phoneticPr fontId="2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S17"/>
  <sheetViews>
    <sheetView topLeftCell="G1" workbookViewId="0">
      <selection activeCell="R20" sqref="R20"/>
    </sheetView>
  </sheetViews>
  <sheetFormatPr defaultColWidth="8.77734375" defaultRowHeight="13.2"/>
  <cols>
    <col min="1" max="1" width="13" style="428" bestFit="1" customWidth="1"/>
    <col min="2" max="6" width="6.6640625" style="428" customWidth="1"/>
    <col min="7" max="7" width="4.6640625" style="428" customWidth="1"/>
    <col min="8" max="8" width="21" style="428" bestFit="1" customWidth="1"/>
    <col min="9" max="9" width="9" style="428" bestFit="1" customWidth="1"/>
    <col min="10" max="12" width="8.77734375" style="428"/>
    <col min="13" max="13" width="12.6640625" style="428" bestFit="1" customWidth="1"/>
    <col min="14" max="14" width="8.77734375" style="428"/>
    <col min="15" max="15" width="9" style="428" bestFit="1" customWidth="1"/>
    <col min="16" max="16" width="9.6640625" style="428" bestFit="1" customWidth="1"/>
    <col min="17" max="17" width="8.77734375" style="428"/>
    <col min="18" max="18" width="9.6640625" style="428" bestFit="1" customWidth="1"/>
    <col min="19" max="16384" width="8.77734375" style="428"/>
  </cols>
  <sheetData>
    <row r="1" spans="1:19">
      <c r="C1" s="654" t="s">
        <v>452</v>
      </c>
      <c r="D1" s="654"/>
      <c r="E1" s="654"/>
      <c r="F1" s="654"/>
    </row>
    <row r="2" spans="1:19" ht="22.5" customHeight="1">
      <c r="A2" s="237"/>
      <c r="B2" s="243" t="s">
        <v>241</v>
      </c>
      <c r="C2" s="243" t="s">
        <v>242</v>
      </c>
      <c r="D2" s="243" t="s">
        <v>243</v>
      </c>
      <c r="E2" s="243" t="s">
        <v>244</v>
      </c>
      <c r="F2" s="227" t="s">
        <v>28</v>
      </c>
      <c r="H2" s="428" t="s">
        <v>443</v>
      </c>
      <c r="I2" s="76">
        <f>ROUND(SUMSQ(B3:E4),1)</f>
        <v>101330</v>
      </c>
      <c r="M2" s="8"/>
      <c r="N2" s="518" t="s">
        <v>460</v>
      </c>
      <c r="O2" s="518" t="s">
        <v>461</v>
      </c>
      <c r="P2" s="518" t="s">
        <v>462</v>
      </c>
      <c r="Q2" s="518" t="s">
        <v>463</v>
      </c>
      <c r="R2" s="518" t="s">
        <v>464</v>
      </c>
      <c r="S2" s="518" t="s">
        <v>465</v>
      </c>
    </row>
    <row r="3" spans="1:19" ht="22.5" customHeight="1">
      <c r="A3" s="237" t="s">
        <v>245</v>
      </c>
      <c r="B3" s="8">
        <v>112</v>
      </c>
      <c r="C3" s="8">
        <v>116</v>
      </c>
      <c r="D3" s="8">
        <v>114</v>
      </c>
      <c r="E3" s="8">
        <v>118</v>
      </c>
      <c r="F3" s="8">
        <f>SUM(B3:E3)</f>
        <v>460</v>
      </c>
      <c r="M3" s="286" t="s">
        <v>466</v>
      </c>
      <c r="N3" s="8">
        <v>1</v>
      </c>
      <c r="O3" s="506">
        <f>I4</f>
        <v>101250</v>
      </c>
      <c r="P3" s="211">
        <f>O3/N3</f>
        <v>101250</v>
      </c>
      <c r="Q3" s="8">
        <f>P3/$P$6</f>
        <v>303750</v>
      </c>
      <c r="R3" s="211">
        <f>O3-N3*$P$6</f>
        <v>101249.66666666667</v>
      </c>
      <c r="S3" s="211">
        <f>R3/$R$7*100</f>
        <v>99.920721076351199</v>
      </c>
    </row>
    <row r="4" spans="1:19" ht="22.5" customHeight="1">
      <c r="A4" s="237" t="s">
        <v>246</v>
      </c>
      <c r="B4" s="8">
        <v>108</v>
      </c>
      <c r="C4" s="8">
        <v>111</v>
      </c>
      <c r="D4" s="8">
        <v>109</v>
      </c>
      <c r="E4" s="8">
        <v>112</v>
      </c>
      <c r="F4" s="8">
        <f>SUM(B4:E4)</f>
        <v>440</v>
      </c>
      <c r="H4" s="428" t="s">
        <v>444</v>
      </c>
      <c r="I4" s="505">
        <f>ROUND(SUM(B3:E4)^2/COUNT(B3:E4),1)</f>
        <v>101250</v>
      </c>
      <c r="M4" s="286" t="s">
        <v>473</v>
      </c>
      <c r="N4" s="8">
        <v>1</v>
      </c>
      <c r="O4" s="100">
        <f>I6</f>
        <v>50</v>
      </c>
      <c r="P4" s="211">
        <f t="shared" ref="P4:P6" si="0">O4/N4</f>
        <v>50</v>
      </c>
      <c r="Q4" s="8">
        <f t="shared" ref="Q4:Q6" si="1">P4/$P$6</f>
        <v>150</v>
      </c>
      <c r="R4" s="211">
        <f t="shared" ref="R4:R5" si="2">O4-N4*$P$6</f>
        <v>49.666666666666664</v>
      </c>
      <c r="S4" s="211">
        <f t="shared" ref="S4:S7" si="3">R4/$R$7*100</f>
        <v>4.9014770222704694E-2</v>
      </c>
    </row>
    <row r="5" spans="1:19" ht="22.5" customHeight="1">
      <c r="A5" s="227" t="s">
        <v>28</v>
      </c>
      <c r="B5" s="8">
        <f>SUM(B3:B4)</f>
        <v>220</v>
      </c>
      <c r="C5" s="8">
        <f t="shared" ref="C5:E5" si="4">SUM(C3:C4)</f>
        <v>227</v>
      </c>
      <c r="D5" s="8">
        <f t="shared" si="4"/>
        <v>223</v>
      </c>
      <c r="E5" s="8">
        <f t="shared" si="4"/>
        <v>230</v>
      </c>
      <c r="M5" s="8" t="s">
        <v>474</v>
      </c>
      <c r="N5" s="8">
        <v>3</v>
      </c>
      <c r="O5" s="100">
        <f>I8</f>
        <v>29</v>
      </c>
      <c r="P5" s="211">
        <f t="shared" si="0"/>
        <v>9.6666666666666661</v>
      </c>
      <c r="Q5" s="8">
        <f t="shared" si="1"/>
        <v>29</v>
      </c>
      <c r="R5" s="211">
        <f t="shared" si="2"/>
        <v>28</v>
      </c>
      <c r="S5" s="211">
        <f t="shared" si="3"/>
        <v>2.7632487910786537E-2</v>
      </c>
    </row>
    <row r="6" spans="1:19" ht="22.5" customHeight="1">
      <c r="H6" s="428" t="s">
        <v>453</v>
      </c>
      <c r="I6" s="100">
        <f>ROUND((F3^2+F4^2)/4-I4,1)</f>
        <v>50</v>
      </c>
      <c r="M6" s="286" t="s">
        <v>468</v>
      </c>
      <c r="N6" s="8">
        <f>N7-N3-N4-N5</f>
        <v>3</v>
      </c>
      <c r="O6" s="506">
        <f>I10</f>
        <v>1</v>
      </c>
      <c r="P6" s="211">
        <f t="shared" si="0"/>
        <v>0.33333333333333331</v>
      </c>
      <c r="Q6" s="8">
        <f t="shared" si="1"/>
        <v>1</v>
      </c>
      <c r="R6" s="510">
        <f>R7-R3-R4-R5</f>
        <v>2.6666666666618184</v>
      </c>
      <c r="S6" s="211">
        <f t="shared" si="3"/>
        <v>2.6316655153082189E-3</v>
      </c>
    </row>
    <row r="7" spans="1:19" ht="22.5" customHeight="1">
      <c r="M7" s="286" t="s">
        <v>469</v>
      </c>
      <c r="N7" s="8">
        <v>8</v>
      </c>
      <c r="O7" s="506">
        <f>I2</f>
        <v>101330</v>
      </c>
      <c r="P7" s="8"/>
      <c r="Q7" s="8"/>
      <c r="R7" s="506">
        <f>O7</f>
        <v>101330</v>
      </c>
      <c r="S7" s="211">
        <f t="shared" si="3"/>
        <v>100</v>
      </c>
    </row>
    <row r="8" spans="1:19" ht="22.5" customHeight="1">
      <c r="H8" s="428" t="s">
        <v>454</v>
      </c>
      <c r="I8" s="100">
        <f>ROUND((B5^2+C5^2+D5^2+E5^2)/2-I4,1)</f>
        <v>29</v>
      </c>
    </row>
    <row r="9" spans="1:19" ht="22.5" customHeight="1"/>
    <row r="10" spans="1:19" ht="22.5" customHeight="1" thickBot="1">
      <c r="H10" s="428" t="s">
        <v>446</v>
      </c>
      <c r="I10" s="506">
        <f>ROUND(I2-I4-I6-I8,1)</f>
        <v>1</v>
      </c>
      <c r="M10" s="360" t="s">
        <v>365</v>
      </c>
      <c r="N10" s="360" t="s">
        <v>367</v>
      </c>
      <c r="O10" s="360" t="s">
        <v>369</v>
      </c>
      <c r="P10" s="509" t="s">
        <v>372</v>
      </c>
      <c r="Q10" s="509" t="s">
        <v>374</v>
      </c>
      <c r="R10" s="509" t="s">
        <v>408</v>
      </c>
      <c r="S10" s="509" t="s">
        <v>472</v>
      </c>
    </row>
    <row r="11" spans="1:19">
      <c r="M11" s="320"/>
      <c r="N11" s="513" t="s">
        <v>460</v>
      </c>
      <c r="O11" s="513" t="s">
        <v>461</v>
      </c>
      <c r="P11" s="513" t="s">
        <v>462</v>
      </c>
      <c r="Q11" s="513" t="s">
        <v>463</v>
      </c>
      <c r="R11" s="513" t="s">
        <v>464</v>
      </c>
      <c r="S11" s="514" t="s">
        <v>465</v>
      </c>
    </row>
    <row r="12" spans="1:19">
      <c r="M12" s="515" t="s">
        <v>473</v>
      </c>
      <c r="N12" s="8">
        <f>N4</f>
        <v>1</v>
      </c>
      <c r="O12" s="100">
        <f>O4</f>
        <v>50</v>
      </c>
      <c r="P12" s="211">
        <f>O12/N12</f>
        <v>50</v>
      </c>
      <c r="Q12" s="100">
        <f>P12/$P$14</f>
        <v>150</v>
      </c>
      <c r="R12" s="211">
        <f>O12-N12*$P$14</f>
        <v>49.666666666666664</v>
      </c>
      <c r="S12" s="101">
        <f>R12/$R$15*100</f>
        <v>62.083333333333336</v>
      </c>
    </row>
    <row r="13" spans="1:19">
      <c r="M13" s="435" t="s">
        <v>474</v>
      </c>
      <c r="N13" s="8">
        <f>N5</f>
        <v>3</v>
      </c>
      <c r="O13" s="100">
        <f>O5</f>
        <v>29</v>
      </c>
      <c r="P13" s="211">
        <f t="shared" ref="P13:P14" si="5">O13/N13</f>
        <v>9.6666666666666661</v>
      </c>
      <c r="Q13" s="100">
        <f t="shared" ref="Q13" si="6">P13/$P$14</f>
        <v>29</v>
      </c>
      <c r="R13" s="211">
        <f>O13-N13*$P$14</f>
        <v>28</v>
      </c>
      <c r="S13" s="101">
        <f t="shared" ref="S13:S15" si="7">R13/$R$15*100</f>
        <v>35</v>
      </c>
    </row>
    <row r="14" spans="1:19">
      <c r="M14" s="515" t="s">
        <v>468</v>
      </c>
      <c r="N14" s="8">
        <f>N15-N12-N13</f>
        <v>3</v>
      </c>
      <c r="O14" s="506">
        <f>O6</f>
        <v>1</v>
      </c>
      <c r="P14" s="211">
        <f t="shared" si="5"/>
        <v>0.33333333333333331</v>
      </c>
      <c r="Q14" s="100"/>
      <c r="R14" s="510">
        <f>R15-R12-R13</f>
        <v>2.3333333333333357</v>
      </c>
      <c r="S14" s="101">
        <f t="shared" si="7"/>
        <v>2.9166666666666696</v>
      </c>
    </row>
    <row r="15" spans="1:19" ht="13.8" thickBot="1">
      <c r="M15" s="516" t="s">
        <v>475</v>
      </c>
      <c r="N15" s="5">
        <f>N17-N16</f>
        <v>7</v>
      </c>
      <c r="O15" s="517">
        <f>O17-O16</f>
        <v>80</v>
      </c>
      <c r="P15" s="5"/>
      <c r="Q15" s="5"/>
      <c r="R15" s="517">
        <f>O15</f>
        <v>80</v>
      </c>
      <c r="S15" s="203">
        <f t="shared" si="7"/>
        <v>100</v>
      </c>
    </row>
    <row r="16" spans="1:19">
      <c r="M16" s="511" t="s">
        <v>466</v>
      </c>
      <c r="N16" s="236">
        <f>N3</f>
        <v>1</v>
      </c>
      <c r="O16" s="512">
        <f>O3</f>
        <v>101250</v>
      </c>
      <c r="P16" s="236"/>
      <c r="Q16" s="236"/>
      <c r="R16" s="236"/>
      <c r="S16" s="236"/>
    </row>
    <row r="17" spans="13:19">
      <c r="M17" s="286" t="s">
        <v>469</v>
      </c>
      <c r="N17" s="8">
        <f>N7</f>
        <v>8</v>
      </c>
      <c r="O17" s="506">
        <f>O7</f>
        <v>101330</v>
      </c>
      <c r="P17" s="8"/>
      <c r="Q17" s="8"/>
      <c r="R17" s="8"/>
      <c r="S17" s="8"/>
    </row>
  </sheetData>
  <mergeCells count="1">
    <mergeCell ref="C1:F1"/>
  </mergeCells>
  <phoneticPr fontId="2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S26"/>
  <sheetViews>
    <sheetView topLeftCell="I7" workbookViewId="0">
      <selection activeCell="K20" sqref="K20"/>
    </sheetView>
  </sheetViews>
  <sheetFormatPr defaultColWidth="8.77734375" defaultRowHeight="13.2"/>
  <cols>
    <col min="1" max="1" width="13" style="428" bestFit="1" customWidth="1"/>
    <col min="2" max="6" width="6.6640625" style="428" customWidth="1"/>
    <col min="7" max="7" width="4.6640625" style="428" customWidth="1"/>
    <col min="8" max="8" width="19.33203125" style="428" bestFit="1" customWidth="1"/>
    <col min="9" max="9" width="9.6640625" style="428" bestFit="1" customWidth="1"/>
    <col min="10" max="12" width="8.77734375" style="428"/>
    <col min="13" max="13" width="13" style="428" bestFit="1" customWidth="1"/>
    <col min="14" max="14" width="8.77734375" style="428"/>
    <col min="15" max="15" width="9" style="428" bestFit="1" customWidth="1"/>
    <col min="16" max="16" width="9.6640625" style="428" bestFit="1" customWidth="1"/>
    <col min="17" max="17" width="8.77734375" style="428"/>
    <col min="18" max="18" width="9" style="428" bestFit="1" customWidth="1"/>
    <col min="19" max="19" width="11.77734375" style="428" bestFit="1" customWidth="1"/>
    <col min="20" max="16384" width="8.77734375" style="428"/>
  </cols>
  <sheetData>
    <row r="1" spans="1:19">
      <c r="B1" s="650" t="s">
        <v>452</v>
      </c>
      <c r="C1" s="650"/>
      <c r="D1" s="650"/>
      <c r="E1" s="650"/>
    </row>
    <row r="2" spans="1:19" ht="22.5" customHeight="1">
      <c r="A2" s="237"/>
      <c r="B2" s="243" t="s">
        <v>241</v>
      </c>
      <c r="C2" s="243" t="s">
        <v>242</v>
      </c>
      <c r="D2" s="243" t="s">
        <v>243</v>
      </c>
      <c r="E2" s="243" t="s">
        <v>244</v>
      </c>
      <c r="H2" s="428" t="s">
        <v>443</v>
      </c>
      <c r="I2" s="505">
        <f>ROUND(SUMSQ(B3:E6),1)</f>
        <v>204582</v>
      </c>
    </row>
    <row r="3" spans="1:19" ht="22.5" customHeight="1">
      <c r="A3" s="638" t="s">
        <v>245</v>
      </c>
      <c r="B3" s="8">
        <v>112</v>
      </c>
      <c r="C3" s="8">
        <v>116</v>
      </c>
      <c r="D3" s="8">
        <v>114</v>
      </c>
      <c r="E3" s="8">
        <v>118</v>
      </c>
    </row>
    <row r="4" spans="1:19" ht="22.5" customHeight="1">
      <c r="A4" s="638"/>
      <c r="B4" s="8">
        <v>113</v>
      </c>
      <c r="C4" s="8">
        <v>114</v>
      </c>
      <c r="D4" s="8">
        <v>111</v>
      </c>
      <c r="E4" s="8">
        <v>126</v>
      </c>
      <c r="H4" s="428" t="s">
        <v>444</v>
      </c>
      <c r="I4" s="100">
        <f>ROUND(SUM(B3:E6)^2/COUNT(B3:E6),1)</f>
        <v>204304</v>
      </c>
    </row>
    <row r="5" spans="1:19" ht="22.5" customHeight="1">
      <c r="A5" s="638" t="s">
        <v>246</v>
      </c>
      <c r="B5" s="8">
        <v>108</v>
      </c>
      <c r="C5" s="8">
        <v>111</v>
      </c>
      <c r="D5" s="8">
        <v>109</v>
      </c>
      <c r="E5" s="8">
        <v>112</v>
      </c>
    </row>
    <row r="6" spans="1:19" ht="22.5" customHeight="1">
      <c r="A6" s="638"/>
      <c r="B6" s="8">
        <v>110</v>
      </c>
      <c r="C6" s="8">
        <v>110</v>
      </c>
      <c r="D6" s="8">
        <v>113</v>
      </c>
      <c r="E6" s="8">
        <v>111</v>
      </c>
    </row>
    <row r="8" spans="1:19">
      <c r="A8" s="428" t="s">
        <v>455</v>
      </c>
      <c r="M8" s="8"/>
      <c r="N8" s="457" t="s">
        <v>460</v>
      </c>
      <c r="O8" s="457" t="s">
        <v>461</v>
      </c>
      <c r="P8" s="457" t="s">
        <v>462</v>
      </c>
      <c r="Q8" s="457" t="s">
        <v>463</v>
      </c>
      <c r="R8" s="457" t="s">
        <v>464</v>
      </c>
      <c r="S8" s="457" t="s">
        <v>465</v>
      </c>
    </row>
    <row r="9" spans="1:19" ht="22.5" customHeight="1">
      <c r="A9" s="237"/>
      <c r="B9" s="243" t="s">
        <v>241</v>
      </c>
      <c r="C9" s="243" t="s">
        <v>242</v>
      </c>
      <c r="D9" s="243" t="s">
        <v>243</v>
      </c>
      <c r="E9" s="243" t="s">
        <v>244</v>
      </c>
      <c r="F9" s="227" t="s">
        <v>28</v>
      </c>
      <c r="H9" s="428" t="s">
        <v>456</v>
      </c>
      <c r="I9" s="100">
        <f>ROUND((F10^2+F11^2)/(4*2)-I4,1)</f>
        <v>100</v>
      </c>
      <c r="M9" s="286" t="s">
        <v>466</v>
      </c>
      <c r="N9" s="8">
        <v>1</v>
      </c>
      <c r="O9" s="100">
        <f>I4</f>
        <v>204304</v>
      </c>
      <c r="P9" s="211">
        <f>O9/N9</f>
        <v>204304</v>
      </c>
      <c r="Q9" s="100">
        <f>P9/$P$12</f>
        <v>13620.266666666666</v>
      </c>
      <c r="R9" s="8">
        <f>O9-N9*$P$13</f>
        <v>204297.75</v>
      </c>
      <c r="S9" s="211">
        <f>R9/$R$14*100</f>
        <v>99.861058157609179</v>
      </c>
    </row>
    <row r="10" spans="1:19" ht="22.5" customHeight="1">
      <c r="A10" s="237" t="s">
        <v>245</v>
      </c>
      <c r="B10" s="8">
        <f>B3+B4</f>
        <v>225</v>
      </c>
      <c r="C10" s="8">
        <f t="shared" ref="C10:E10" si="0">C3+C4</f>
        <v>230</v>
      </c>
      <c r="D10" s="8">
        <f t="shared" si="0"/>
        <v>225</v>
      </c>
      <c r="E10" s="8">
        <f t="shared" si="0"/>
        <v>244</v>
      </c>
      <c r="F10" s="8">
        <f>SUM(B10:E10)</f>
        <v>924</v>
      </c>
      <c r="M10" s="286" t="s">
        <v>473</v>
      </c>
      <c r="N10" s="8">
        <v>1</v>
      </c>
      <c r="O10" s="100">
        <f>I9</f>
        <v>100</v>
      </c>
      <c r="P10" s="211">
        <f t="shared" ref="P10:P13" si="1">O10/N10</f>
        <v>100</v>
      </c>
      <c r="Q10" s="100">
        <f t="shared" ref="Q10:Q12" si="2">P10/$P$12</f>
        <v>6.666666666666667</v>
      </c>
      <c r="R10" s="8">
        <f>O10-N10*$P$13</f>
        <v>93.75</v>
      </c>
      <c r="S10" s="211">
        <f t="shared" ref="S10:S14" si="3">R10/$R$14*100</f>
        <v>4.5825145907264567E-2</v>
      </c>
    </row>
    <row r="11" spans="1:19" ht="22.5" customHeight="1">
      <c r="A11" s="237" t="s">
        <v>246</v>
      </c>
      <c r="B11" s="8">
        <f>B5+B6</f>
        <v>218</v>
      </c>
      <c r="C11" s="8">
        <f t="shared" ref="C11:E11" si="4">C5+C6</f>
        <v>221</v>
      </c>
      <c r="D11" s="8">
        <f t="shared" si="4"/>
        <v>222</v>
      </c>
      <c r="E11" s="8">
        <f t="shared" si="4"/>
        <v>223</v>
      </c>
      <c r="F11" s="8">
        <f>SUM(B11:E11)</f>
        <v>884</v>
      </c>
      <c r="H11" s="428" t="s">
        <v>457</v>
      </c>
      <c r="I11" s="100">
        <f>ROUND((B12^2+C12^2+D12^2+E12^2)/(2*2)-I4,1)</f>
        <v>83</v>
      </c>
      <c r="M11" s="8" t="s">
        <v>474</v>
      </c>
      <c r="N11" s="8">
        <v>3</v>
      </c>
      <c r="O11" s="100">
        <f>I11</f>
        <v>83</v>
      </c>
      <c r="P11" s="211">
        <f t="shared" si="1"/>
        <v>27.666666666666668</v>
      </c>
      <c r="Q11" s="100">
        <f t="shared" si="2"/>
        <v>1.8444444444444446</v>
      </c>
      <c r="R11" s="8">
        <f>O11-N11*$P$13</f>
        <v>64.25</v>
      </c>
      <c r="S11" s="211">
        <f t="shared" si="3"/>
        <v>3.1405499995111989E-2</v>
      </c>
    </row>
    <row r="12" spans="1:19" ht="22.5" customHeight="1">
      <c r="A12" s="227" t="s">
        <v>28</v>
      </c>
      <c r="B12" s="8">
        <f>SUM(B10:B11)</f>
        <v>443</v>
      </c>
      <c r="C12" s="8">
        <f t="shared" ref="C12:E12" si="5">SUM(C10:C11)</f>
        <v>451</v>
      </c>
      <c r="D12" s="8">
        <f t="shared" si="5"/>
        <v>447</v>
      </c>
      <c r="E12" s="8">
        <f t="shared" si="5"/>
        <v>467</v>
      </c>
      <c r="M12" s="8" t="s">
        <v>476</v>
      </c>
      <c r="N12" s="8">
        <v>3</v>
      </c>
      <c r="O12" s="436">
        <f>I14</f>
        <v>45</v>
      </c>
      <c r="P12" s="211">
        <f t="shared" si="1"/>
        <v>15</v>
      </c>
      <c r="Q12" s="100">
        <f t="shared" si="2"/>
        <v>1</v>
      </c>
      <c r="R12" s="8">
        <f>O12-N12*$P$13</f>
        <v>26.25</v>
      </c>
      <c r="S12" s="211">
        <f t="shared" si="3"/>
        <v>1.283104085403408E-2</v>
      </c>
    </row>
    <row r="13" spans="1:19">
      <c r="M13" s="286" t="s">
        <v>468</v>
      </c>
      <c r="N13" s="8">
        <f>N14-N9-N10-N11-N12</f>
        <v>8</v>
      </c>
      <c r="O13" s="507">
        <f>I16</f>
        <v>50</v>
      </c>
      <c r="P13" s="211">
        <f t="shared" si="1"/>
        <v>6.25</v>
      </c>
      <c r="Q13" s="8"/>
      <c r="R13" s="510">
        <f>R14-R9-R10-R11-R12</f>
        <v>100</v>
      </c>
      <c r="S13" s="211">
        <f t="shared" si="3"/>
        <v>4.8880155634415542E-2</v>
      </c>
    </row>
    <row r="14" spans="1:19" ht="22.5" customHeight="1">
      <c r="A14" s="428" t="s">
        <v>458</v>
      </c>
      <c r="B14" s="658">
        <f>ROUND(SUMSQ(B10:E11)/2-I4,1)</f>
        <v>228</v>
      </c>
      <c r="C14" s="659"/>
      <c r="H14" s="428" t="s">
        <v>459</v>
      </c>
      <c r="I14" s="436">
        <f>ROUND(B14-I9-I11,1)</f>
        <v>45</v>
      </c>
      <c r="M14" s="286" t="s">
        <v>469</v>
      </c>
      <c r="N14" s="8">
        <v>16</v>
      </c>
      <c r="O14" s="506">
        <f>I2</f>
        <v>204582</v>
      </c>
      <c r="P14" s="8"/>
      <c r="Q14" s="8"/>
      <c r="R14" s="506">
        <f>O14</f>
        <v>204582</v>
      </c>
      <c r="S14" s="211">
        <f t="shared" si="3"/>
        <v>100</v>
      </c>
    </row>
    <row r="15" spans="1:19" ht="22.5" customHeight="1"/>
    <row r="16" spans="1:19" ht="22.5" customHeight="1">
      <c r="H16" s="428" t="s">
        <v>446</v>
      </c>
      <c r="I16" s="507">
        <f>ROUND(I2-I4-I9-I11-I14,1)</f>
        <v>50</v>
      </c>
    </row>
    <row r="18" spans="13:19" ht="13.8" thickBot="1">
      <c r="M18" s="306" t="s">
        <v>364</v>
      </c>
      <c r="N18" s="306" t="s">
        <v>366</v>
      </c>
      <c r="O18" s="306" t="s">
        <v>368</v>
      </c>
      <c r="P18" s="306" t="s">
        <v>371</v>
      </c>
      <c r="Q18" s="306" t="s">
        <v>373</v>
      </c>
      <c r="R18" s="306" t="s">
        <v>470</v>
      </c>
      <c r="S18" s="306" t="s">
        <v>471</v>
      </c>
    </row>
    <row r="19" spans="13:19" ht="22.5" customHeight="1">
      <c r="M19" s="446"/>
      <c r="N19" s="522" t="s">
        <v>460</v>
      </c>
      <c r="O19" s="522" t="s">
        <v>461</v>
      </c>
      <c r="P19" s="522" t="s">
        <v>462</v>
      </c>
      <c r="Q19" s="522" t="s">
        <v>463</v>
      </c>
      <c r="R19" s="522" t="s">
        <v>464</v>
      </c>
      <c r="S19" s="523" t="s">
        <v>465</v>
      </c>
    </row>
    <row r="20" spans="13:19" ht="22.5" customHeight="1">
      <c r="M20" s="524" t="s">
        <v>473</v>
      </c>
      <c r="N20" s="8">
        <f t="shared" ref="N20:O22" si="6">N10</f>
        <v>1</v>
      </c>
      <c r="O20" s="100">
        <f t="shared" si="6"/>
        <v>100</v>
      </c>
      <c r="P20" s="211">
        <f>O20/N20</f>
        <v>100</v>
      </c>
      <c r="Q20" s="100">
        <f>P20/$P$23</f>
        <v>16</v>
      </c>
      <c r="R20" s="51">
        <f>IF(O20-N20*$P$23&lt;0,"",O20-N20*$P$23)</f>
        <v>93.75</v>
      </c>
      <c r="S20" s="525">
        <f>IF(R20&lt;&gt;"",R20/$R$24*100,"")</f>
        <v>33.723021582733814</v>
      </c>
    </row>
    <row r="21" spans="13:19" ht="22.5" customHeight="1">
      <c r="M21" s="526" t="s">
        <v>474</v>
      </c>
      <c r="N21" s="8">
        <f t="shared" si="6"/>
        <v>3</v>
      </c>
      <c r="O21" s="100">
        <f t="shared" si="6"/>
        <v>83</v>
      </c>
      <c r="P21" s="211">
        <f t="shared" ref="P21:P23" si="7">O21/N21</f>
        <v>27.666666666666668</v>
      </c>
      <c r="Q21" s="100">
        <f t="shared" ref="Q21:Q22" si="8">P21/$P$23</f>
        <v>4.4266666666666667</v>
      </c>
      <c r="R21" s="51">
        <f>IF(O21-N21*$P$23&lt;0,"",O21-N21*$P$23)</f>
        <v>64.25</v>
      </c>
      <c r="S21" s="525">
        <f t="shared" ref="S21:S24" si="9">IF(R21&lt;&gt;"",R21/$R$24*100,"")</f>
        <v>23.111510791366907</v>
      </c>
    </row>
    <row r="22" spans="13:19" ht="22.5" customHeight="1">
      <c r="M22" s="526" t="s">
        <v>476</v>
      </c>
      <c r="N22" s="8">
        <f t="shared" si="6"/>
        <v>3</v>
      </c>
      <c r="O22" s="436">
        <f t="shared" si="6"/>
        <v>45</v>
      </c>
      <c r="P22" s="211">
        <f t="shared" si="7"/>
        <v>15</v>
      </c>
      <c r="Q22" s="100">
        <f t="shared" si="8"/>
        <v>2.4</v>
      </c>
      <c r="R22" s="51">
        <f>IF(O22-N22*$P$23&lt;0,"",O22-N22*$P$23)</f>
        <v>26.25</v>
      </c>
      <c r="S22" s="525">
        <f t="shared" si="9"/>
        <v>9.442446043165468</v>
      </c>
    </row>
    <row r="23" spans="13:19" ht="22.5" customHeight="1">
      <c r="M23" s="524" t="s">
        <v>468</v>
      </c>
      <c r="N23" s="8">
        <f>N24-N20-N21-N22</f>
        <v>8</v>
      </c>
      <c r="O23" s="507">
        <f>O13</f>
        <v>50</v>
      </c>
      <c r="P23" s="211">
        <f t="shared" si="7"/>
        <v>6.25</v>
      </c>
      <c r="Q23" s="8"/>
      <c r="R23" s="520">
        <f>R24-R20-R21-R22</f>
        <v>93.75</v>
      </c>
      <c r="S23" s="525">
        <f t="shared" si="9"/>
        <v>33.723021582733814</v>
      </c>
    </row>
    <row r="24" spans="13:19" ht="22.5" customHeight="1" thickBot="1">
      <c r="M24" s="527" t="s">
        <v>475</v>
      </c>
      <c r="N24" s="5">
        <f>N26-N25</f>
        <v>15</v>
      </c>
      <c r="O24" s="517">
        <f>O26-O25</f>
        <v>278</v>
      </c>
      <c r="P24" s="5"/>
      <c r="Q24" s="5"/>
      <c r="R24" s="528">
        <f>O24</f>
        <v>278</v>
      </c>
      <c r="S24" s="529">
        <f t="shared" si="9"/>
        <v>100</v>
      </c>
    </row>
    <row r="25" spans="13:19">
      <c r="M25" s="511" t="s">
        <v>466</v>
      </c>
      <c r="N25" s="236">
        <f>N9</f>
        <v>1</v>
      </c>
      <c r="O25" s="432">
        <f>O9</f>
        <v>204304</v>
      </c>
    </row>
    <row r="26" spans="13:19">
      <c r="M26" s="286" t="s">
        <v>469</v>
      </c>
      <c r="N26" s="8">
        <f>N14</f>
        <v>16</v>
      </c>
      <c r="O26" s="506">
        <f>O14</f>
        <v>204582</v>
      </c>
    </row>
  </sheetData>
  <mergeCells count="4">
    <mergeCell ref="B1:E1"/>
    <mergeCell ref="A3:A4"/>
    <mergeCell ref="A5:A6"/>
    <mergeCell ref="B14:C14"/>
  </mergeCells>
  <phoneticPr fontId="2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I6"/>
  <sheetViews>
    <sheetView workbookViewId="0"/>
  </sheetViews>
  <sheetFormatPr defaultColWidth="8.77734375" defaultRowHeight="13.2"/>
  <cols>
    <col min="1" max="1" width="13" style="428" bestFit="1" customWidth="1"/>
    <col min="2" max="9" width="8.6640625" style="428" customWidth="1"/>
    <col min="10" max="16384" width="8.77734375" style="428"/>
  </cols>
  <sheetData>
    <row r="1" spans="1:9" ht="22.5" customHeight="1">
      <c r="A1" s="237"/>
      <c r="B1" s="519" t="s">
        <v>460</v>
      </c>
      <c r="C1" s="519" t="s">
        <v>461</v>
      </c>
      <c r="D1" s="519" t="s">
        <v>462</v>
      </c>
      <c r="E1" s="519" t="s">
        <v>463</v>
      </c>
      <c r="F1" s="519">
        <v>0.05</v>
      </c>
      <c r="G1" s="519">
        <v>0.01</v>
      </c>
      <c r="H1" s="519" t="s">
        <v>464</v>
      </c>
      <c r="I1" s="519" t="s">
        <v>465</v>
      </c>
    </row>
    <row r="2" spans="1:9" ht="22.5" customHeight="1">
      <c r="A2" s="519" t="s">
        <v>473</v>
      </c>
      <c r="B2" s="8">
        <v>1</v>
      </c>
      <c r="C2" s="100">
        <v>100</v>
      </c>
      <c r="D2" s="211">
        <f>C2/B2</f>
        <v>100</v>
      </c>
      <c r="E2" s="211">
        <f>ROUND(D2/$D$5,2)</f>
        <v>16</v>
      </c>
      <c r="F2" s="530">
        <f>ROUND(FINV(0.05,1,8),2)</f>
        <v>5.32</v>
      </c>
      <c r="G2" s="530">
        <f>ROUND(FINV(0.01,1,8),2)</f>
        <v>11.26</v>
      </c>
      <c r="H2" s="531">
        <f>IF(C2-B2*$D$5&lt;0,"",C2-B2*$D$5)</f>
        <v>93.75</v>
      </c>
      <c r="I2" s="532">
        <f>IF(H2&lt;&gt;"",H2/$H$6*100,"")</f>
        <v>33.723021582733814</v>
      </c>
    </row>
    <row r="3" spans="1:9" ht="22.5" customHeight="1">
      <c r="A3" s="563" t="s">
        <v>474</v>
      </c>
      <c r="B3" s="8">
        <v>3</v>
      </c>
      <c r="C3" s="100">
        <v>83</v>
      </c>
      <c r="D3" s="211">
        <f>C3/B3</f>
        <v>27.666666666666668</v>
      </c>
      <c r="E3" s="211">
        <f>ROUND(D3/$D$5,2)</f>
        <v>4.43</v>
      </c>
      <c r="F3" s="530">
        <f>ROUND(FINV(0.05,3,8),2)</f>
        <v>4.07</v>
      </c>
      <c r="G3" s="530">
        <f>ROUND(FINV(0.01,3,8),2)</f>
        <v>7.59</v>
      </c>
      <c r="H3" s="531">
        <f>IF(C3-B3*$D$5&lt;0,"",C3-B3*$D$5)</f>
        <v>64.25</v>
      </c>
      <c r="I3" s="532">
        <f>IF(H3&lt;&gt;"",H3/$H$6*100,"")</f>
        <v>23.111510791366907</v>
      </c>
    </row>
    <row r="4" spans="1:9" ht="22.5" customHeight="1">
      <c r="A4" s="563" t="s">
        <v>476</v>
      </c>
      <c r="B4" s="8">
        <v>3</v>
      </c>
      <c r="C4" s="100">
        <v>45</v>
      </c>
      <c r="D4" s="211">
        <f>C4/B4</f>
        <v>15</v>
      </c>
      <c r="E4" s="211">
        <f>ROUND(D4/$D$5,2)</f>
        <v>2.4</v>
      </c>
      <c r="F4" s="530">
        <f>ROUND(FINV(0.05,3,8),2)</f>
        <v>4.07</v>
      </c>
      <c r="G4" s="530">
        <f>ROUND(FINV(0.01,3,8),2)</f>
        <v>7.59</v>
      </c>
      <c r="H4" s="531">
        <f>IF(C4-B4*$D$5&lt;0,"",C4-B4*$D$5)</f>
        <v>26.25</v>
      </c>
      <c r="I4" s="532">
        <f>IF(H4&lt;&gt;"",H4/$H$6*100,"")</f>
        <v>9.442446043165468</v>
      </c>
    </row>
    <row r="5" spans="1:9" ht="22.5" customHeight="1">
      <c r="A5" s="519" t="s">
        <v>468</v>
      </c>
      <c r="B5" s="8">
        <v>8</v>
      </c>
      <c r="C5" s="100">
        <v>50</v>
      </c>
      <c r="D5" s="211">
        <f>C5/B5</f>
        <v>6.25</v>
      </c>
      <c r="E5" s="8"/>
      <c r="F5" s="8"/>
      <c r="G5" s="8"/>
      <c r="H5" s="533">
        <f>H6-H2-H3-H4</f>
        <v>93.75</v>
      </c>
      <c r="I5" s="532">
        <f>IF(H5&lt;&gt;"",H5/$H$6*100,"")</f>
        <v>33.723021582733814</v>
      </c>
    </row>
    <row r="6" spans="1:9" ht="22.5" customHeight="1">
      <c r="A6" s="519" t="s">
        <v>475</v>
      </c>
      <c r="B6" s="8">
        <v>15</v>
      </c>
      <c r="C6" s="100">
        <v>278</v>
      </c>
      <c r="D6" s="8"/>
      <c r="E6" s="8"/>
      <c r="F6" s="8"/>
      <c r="G6" s="8"/>
      <c r="H6" s="521">
        <f>C6</f>
        <v>278</v>
      </c>
      <c r="I6" s="532">
        <f>IF(H6&lt;&gt;"",H6/$H$6*100,"")</f>
        <v>100</v>
      </c>
    </row>
  </sheetData>
  <phoneticPr fontId="2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B3:L13"/>
  <sheetViews>
    <sheetView workbookViewId="0">
      <selection activeCell="B1" sqref="B1"/>
    </sheetView>
  </sheetViews>
  <sheetFormatPr defaultRowHeight="13.2"/>
  <cols>
    <col min="10" max="10" width="2.21875" customWidth="1"/>
    <col min="11" max="11" width="12.21875" customWidth="1"/>
  </cols>
  <sheetData>
    <row r="3" spans="2:12" ht="41.55" customHeight="1">
      <c r="B3" s="684" t="s">
        <v>247</v>
      </c>
      <c r="C3" s="683" t="s">
        <v>248</v>
      </c>
      <c r="D3" s="683" t="s">
        <v>266</v>
      </c>
      <c r="E3" s="683" t="s">
        <v>249</v>
      </c>
      <c r="F3" s="683" t="s">
        <v>250</v>
      </c>
      <c r="G3" s="683" t="s">
        <v>251</v>
      </c>
      <c r="H3" s="683" t="s">
        <v>252</v>
      </c>
      <c r="I3" s="683" t="s">
        <v>253</v>
      </c>
      <c r="J3" s="261"/>
      <c r="K3" s="683" t="s">
        <v>264</v>
      </c>
      <c r="L3" s="683" t="s">
        <v>265</v>
      </c>
    </row>
    <row r="4" spans="2:12">
      <c r="B4" s="684"/>
      <c r="C4" s="683"/>
      <c r="D4" s="683"/>
      <c r="E4" s="683"/>
      <c r="F4" s="683"/>
      <c r="G4" s="683"/>
      <c r="H4" s="683"/>
      <c r="I4" s="683"/>
      <c r="J4" s="261"/>
      <c r="K4" s="683"/>
      <c r="L4" s="683"/>
    </row>
    <row r="5" spans="2:12">
      <c r="B5" s="684"/>
      <c r="C5" s="50">
        <v>1</v>
      </c>
      <c r="D5" s="50">
        <v>2</v>
      </c>
      <c r="E5" s="50">
        <v>3</v>
      </c>
      <c r="F5" s="50">
        <v>4</v>
      </c>
      <c r="G5" s="50">
        <v>5</v>
      </c>
      <c r="H5" s="50">
        <v>6</v>
      </c>
      <c r="I5" s="50">
        <v>7</v>
      </c>
      <c r="J5" s="261"/>
      <c r="K5" s="683"/>
      <c r="L5" s="683"/>
    </row>
    <row r="6" spans="2:12" ht="13.05" customHeight="1">
      <c r="B6" s="50">
        <v>1</v>
      </c>
      <c r="C6" s="50" t="s">
        <v>254</v>
      </c>
      <c r="D6" s="50" t="s">
        <v>254</v>
      </c>
      <c r="E6" s="50">
        <v>1</v>
      </c>
      <c r="F6" s="50" t="s">
        <v>254</v>
      </c>
      <c r="G6" s="50">
        <v>1</v>
      </c>
      <c r="H6" s="50">
        <v>1</v>
      </c>
      <c r="I6" s="50" t="s">
        <v>254</v>
      </c>
      <c r="J6" s="261"/>
      <c r="K6" s="50" t="s">
        <v>256</v>
      </c>
      <c r="L6" s="262">
        <v>100</v>
      </c>
    </row>
    <row r="7" spans="2:12" ht="13.05" customHeight="1">
      <c r="B7" s="50">
        <v>2</v>
      </c>
      <c r="C7" s="50" t="s">
        <v>254</v>
      </c>
      <c r="D7" s="50" t="s">
        <v>254</v>
      </c>
      <c r="E7" s="50">
        <v>1</v>
      </c>
      <c r="F7" s="50" t="s">
        <v>255</v>
      </c>
      <c r="G7" s="50">
        <v>2</v>
      </c>
      <c r="H7" s="50">
        <v>2</v>
      </c>
      <c r="I7" s="50" t="s">
        <v>255</v>
      </c>
      <c r="J7" s="261"/>
      <c r="K7" s="50" t="s">
        <v>257</v>
      </c>
      <c r="L7" s="262">
        <v>104</v>
      </c>
    </row>
    <row r="8" spans="2:12" ht="13.05" customHeight="1">
      <c r="B8" s="50">
        <v>3</v>
      </c>
      <c r="C8" s="50" t="s">
        <v>254</v>
      </c>
      <c r="D8" s="50" t="s">
        <v>255</v>
      </c>
      <c r="E8" s="50">
        <v>2</v>
      </c>
      <c r="F8" s="50" t="s">
        <v>254</v>
      </c>
      <c r="G8" s="50">
        <v>1</v>
      </c>
      <c r="H8" s="50">
        <v>2</v>
      </c>
      <c r="I8" s="50" t="s">
        <v>255</v>
      </c>
      <c r="J8" s="261"/>
      <c r="K8" s="50" t="s">
        <v>258</v>
      </c>
      <c r="L8" s="262">
        <v>95</v>
      </c>
    </row>
    <row r="9" spans="2:12" ht="13.05" customHeight="1">
      <c r="B9" s="50">
        <v>4</v>
      </c>
      <c r="C9" s="50" t="s">
        <v>254</v>
      </c>
      <c r="D9" s="50" t="s">
        <v>255</v>
      </c>
      <c r="E9" s="50">
        <v>2</v>
      </c>
      <c r="F9" s="50" t="s">
        <v>255</v>
      </c>
      <c r="G9" s="50">
        <v>2</v>
      </c>
      <c r="H9" s="50">
        <v>1</v>
      </c>
      <c r="I9" s="50" t="s">
        <v>254</v>
      </c>
      <c r="J9" s="261"/>
      <c r="K9" s="50" t="s">
        <v>259</v>
      </c>
      <c r="L9" s="262">
        <v>98</v>
      </c>
    </row>
    <row r="10" spans="2:12" ht="13.05" customHeight="1">
      <c r="B10" s="50">
        <v>5</v>
      </c>
      <c r="C10" s="50" t="s">
        <v>255</v>
      </c>
      <c r="D10" s="50" t="s">
        <v>254</v>
      </c>
      <c r="E10" s="50">
        <v>2</v>
      </c>
      <c r="F10" s="50" t="s">
        <v>254</v>
      </c>
      <c r="G10" s="50">
        <v>2</v>
      </c>
      <c r="H10" s="50">
        <v>1</v>
      </c>
      <c r="I10" s="50" t="s">
        <v>255</v>
      </c>
      <c r="J10" s="261"/>
      <c r="K10" s="50" t="s">
        <v>260</v>
      </c>
      <c r="L10" s="262">
        <v>110</v>
      </c>
    </row>
    <row r="11" spans="2:12" ht="13.05" customHeight="1">
      <c r="B11" s="50">
        <v>6</v>
      </c>
      <c r="C11" s="50" t="s">
        <v>255</v>
      </c>
      <c r="D11" s="50" t="s">
        <v>254</v>
      </c>
      <c r="E11" s="50">
        <v>2</v>
      </c>
      <c r="F11" s="50" t="s">
        <v>255</v>
      </c>
      <c r="G11" s="50">
        <v>1</v>
      </c>
      <c r="H11" s="50">
        <v>2</v>
      </c>
      <c r="I11" s="50" t="s">
        <v>254</v>
      </c>
      <c r="J11" s="261"/>
      <c r="K11" s="50" t="s">
        <v>261</v>
      </c>
      <c r="L11" s="262">
        <v>106</v>
      </c>
    </row>
    <row r="12" spans="2:12" ht="13.05" customHeight="1">
      <c r="B12" s="50">
        <v>7</v>
      </c>
      <c r="C12" s="50" t="s">
        <v>255</v>
      </c>
      <c r="D12" s="50" t="s">
        <v>255</v>
      </c>
      <c r="E12" s="50">
        <v>1</v>
      </c>
      <c r="F12" s="50" t="s">
        <v>254</v>
      </c>
      <c r="G12" s="50">
        <v>2</v>
      </c>
      <c r="H12" s="50">
        <v>2</v>
      </c>
      <c r="I12" s="50" t="s">
        <v>254</v>
      </c>
      <c r="J12" s="261"/>
      <c r="K12" s="50" t="s">
        <v>262</v>
      </c>
      <c r="L12" s="262">
        <v>140</v>
      </c>
    </row>
    <row r="13" spans="2:12" ht="13.05" customHeight="1">
      <c r="B13" s="50">
        <v>8</v>
      </c>
      <c r="C13" s="50" t="s">
        <v>255</v>
      </c>
      <c r="D13" s="50" t="s">
        <v>255</v>
      </c>
      <c r="E13" s="50">
        <v>1</v>
      </c>
      <c r="F13" s="50" t="s">
        <v>255</v>
      </c>
      <c r="G13" s="50">
        <v>1</v>
      </c>
      <c r="H13" s="50">
        <v>1</v>
      </c>
      <c r="I13" s="50" t="s">
        <v>255</v>
      </c>
      <c r="J13" s="261"/>
      <c r="K13" s="50" t="s">
        <v>263</v>
      </c>
      <c r="L13" s="262">
        <v>130</v>
      </c>
    </row>
  </sheetData>
  <mergeCells count="10">
    <mergeCell ref="I3:I4"/>
    <mergeCell ref="K3:K5"/>
    <mergeCell ref="L3:L5"/>
    <mergeCell ref="D3:D4"/>
    <mergeCell ref="B3:B5"/>
    <mergeCell ref="C3:C4"/>
    <mergeCell ref="E3:E4"/>
    <mergeCell ref="F3:F4"/>
    <mergeCell ref="G3:G4"/>
    <mergeCell ref="H3:H4"/>
  </mergeCells>
  <phoneticPr fontId="2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B3:T13"/>
  <sheetViews>
    <sheetView topLeftCell="I1" workbookViewId="0">
      <selection activeCell="O14" sqref="O14"/>
    </sheetView>
  </sheetViews>
  <sheetFormatPr defaultColWidth="8.77734375" defaultRowHeight="13.2"/>
  <cols>
    <col min="1" max="9" width="8.77734375" style="422"/>
    <col min="10" max="10" width="2.21875" style="422" customWidth="1"/>
    <col min="11" max="11" width="12.21875" style="422" customWidth="1"/>
    <col min="12" max="14" width="8.77734375" style="422"/>
    <col min="15" max="15" width="20.21875" style="422" customWidth="1"/>
    <col min="16" max="17" width="8.77734375" style="422"/>
    <col min="18" max="18" width="3.33203125" style="422" customWidth="1"/>
    <col min="19" max="20" width="10.6640625" style="422" customWidth="1"/>
    <col min="21" max="16384" width="8.77734375" style="422"/>
  </cols>
  <sheetData>
    <row r="3" spans="2:20" ht="41.55" customHeight="1" thickBot="1">
      <c r="B3" s="684" t="s">
        <v>247</v>
      </c>
      <c r="C3" s="683" t="s">
        <v>248</v>
      </c>
      <c r="D3" s="683" t="s">
        <v>266</v>
      </c>
      <c r="E3" s="683" t="s">
        <v>249</v>
      </c>
      <c r="F3" s="683" t="s">
        <v>250</v>
      </c>
      <c r="G3" s="683" t="s">
        <v>251</v>
      </c>
      <c r="H3" s="683" t="s">
        <v>252</v>
      </c>
      <c r="I3" s="683" t="s">
        <v>253</v>
      </c>
      <c r="J3" s="261"/>
      <c r="K3" s="683" t="s">
        <v>264</v>
      </c>
      <c r="L3" s="683" t="s">
        <v>265</v>
      </c>
    </row>
    <row r="4" spans="2:20">
      <c r="B4" s="684"/>
      <c r="C4" s="683"/>
      <c r="D4" s="683"/>
      <c r="E4" s="683"/>
      <c r="F4" s="683"/>
      <c r="G4" s="683"/>
      <c r="H4" s="683"/>
      <c r="I4" s="683"/>
      <c r="J4" s="261"/>
      <c r="K4" s="683"/>
      <c r="L4" s="683"/>
      <c r="O4" s="596"/>
      <c r="P4" s="685" t="s">
        <v>481</v>
      </c>
      <c r="Q4" s="686"/>
      <c r="S4" s="320" t="s">
        <v>483</v>
      </c>
      <c r="T4" s="3"/>
    </row>
    <row r="5" spans="2:20">
      <c r="B5" s="684"/>
      <c r="C5" s="286">
        <v>1</v>
      </c>
      <c r="D5" s="286">
        <v>2</v>
      </c>
      <c r="E5" s="286">
        <v>3</v>
      </c>
      <c r="F5" s="286">
        <v>4</v>
      </c>
      <c r="G5" s="286">
        <v>5</v>
      </c>
      <c r="H5" s="286">
        <v>6</v>
      </c>
      <c r="I5" s="286">
        <v>7</v>
      </c>
      <c r="J5" s="261"/>
      <c r="K5" s="683"/>
      <c r="L5" s="683"/>
      <c r="O5" s="687"/>
      <c r="P5" s="331">
        <v>1</v>
      </c>
      <c r="Q5" s="536">
        <v>2</v>
      </c>
      <c r="S5" s="456" t="s">
        <v>481</v>
      </c>
      <c r="T5" s="537" t="s">
        <v>482</v>
      </c>
    </row>
    <row r="6" spans="2:20" ht="13.05" customHeight="1">
      <c r="B6" s="286">
        <v>1</v>
      </c>
      <c r="C6" s="286" t="s">
        <v>254</v>
      </c>
      <c r="D6" s="286" t="s">
        <v>254</v>
      </c>
      <c r="E6" s="286">
        <v>1</v>
      </c>
      <c r="F6" s="286" t="s">
        <v>254</v>
      </c>
      <c r="G6" s="286">
        <v>1</v>
      </c>
      <c r="H6" s="286">
        <v>1</v>
      </c>
      <c r="I6" s="286" t="s">
        <v>254</v>
      </c>
      <c r="J6" s="261"/>
      <c r="K6" s="286" t="s">
        <v>256</v>
      </c>
      <c r="L6" s="262">
        <v>100</v>
      </c>
      <c r="O6" s="534" t="s">
        <v>248</v>
      </c>
      <c r="P6" s="65">
        <f>SUMIF(C$6:C$13,"無し",$L$6:$L$13)</f>
        <v>397</v>
      </c>
      <c r="Q6" s="336">
        <f>SUMIF(C$6:C$13,"有り",$L$6:$L$13)</f>
        <v>486</v>
      </c>
      <c r="S6" s="184">
        <f>IF(P6-Q6&gt;=0,1,2)</f>
        <v>2</v>
      </c>
      <c r="T6" s="538" t="str">
        <f>IF(S6=1,"なし","あり")</f>
        <v>あり</v>
      </c>
    </row>
    <row r="7" spans="2:20" ht="13.05" customHeight="1">
      <c r="B7" s="286">
        <v>2</v>
      </c>
      <c r="C7" s="286" t="s">
        <v>254</v>
      </c>
      <c r="D7" s="286" t="s">
        <v>254</v>
      </c>
      <c r="E7" s="286">
        <v>1</v>
      </c>
      <c r="F7" s="286" t="s">
        <v>255</v>
      </c>
      <c r="G7" s="286">
        <v>2</v>
      </c>
      <c r="H7" s="286">
        <v>2</v>
      </c>
      <c r="I7" s="286" t="s">
        <v>255</v>
      </c>
      <c r="J7" s="261"/>
      <c r="K7" s="286" t="s">
        <v>257</v>
      </c>
      <c r="L7" s="262">
        <v>104</v>
      </c>
      <c r="O7" s="534" t="s">
        <v>477</v>
      </c>
      <c r="P7" s="65">
        <f>SUMIF(D$6:D$13,"無し",$L$6:$L$13)</f>
        <v>420</v>
      </c>
      <c r="Q7" s="336">
        <f>SUMIF(D$6:D$13,"有り",$L$6:$L$13)</f>
        <v>463</v>
      </c>
      <c r="S7" s="184">
        <f t="shared" ref="S7:S12" si="0">IF(P7-Q7&gt;=0,1,2)</f>
        <v>2</v>
      </c>
      <c r="T7" s="538" t="str">
        <f>IF(S7=1,"なし","あり")</f>
        <v>あり</v>
      </c>
    </row>
    <row r="8" spans="2:20" ht="13.05" customHeight="1">
      <c r="B8" s="286">
        <v>3</v>
      </c>
      <c r="C8" s="286" t="s">
        <v>254</v>
      </c>
      <c r="D8" s="286" t="s">
        <v>255</v>
      </c>
      <c r="E8" s="286">
        <v>2</v>
      </c>
      <c r="F8" s="286" t="s">
        <v>254</v>
      </c>
      <c r="G8" s="286">
        <v>1</v>
      </c>
      <c r="H8" s="286">
        <v>2</v>
      </c>
      <c r="I8" s="286" t="s">
        <v>255</v>
      </c>
      <c r="J8" s="261"/>
      <c r="K8" s="286" t="s">
        <v>258</v>
      </c>
      <c r="L8" s="262">
        <v>95</v>
      </c>
      <c r="O8" s="534" t="s">
        <v>478</v>
      </c>
      <c r="P8" s="65">
        <f>SUMIF(E$6:E$13,1,$L$6:$L$13)</f>
        <v>474</v>
      </c>
      <c r="Q8" s="336">
        <f>SUMIF(E$6:E$13,2,$L$6:$L$13)</f>
        <v>409</v>
      </c>
      <c r="S8" s="539" t="s">
        <v>238</v>
      </c>
      <c r="T8" s="540" t="s">
        <v>238</v>
      </c>
    </row>
    <row r="9" spans="2:20" ht="13.05" customHeight="1">
      <c r="B9" s="286">
        <v>4</v>
      </c>
      <c r="C9" s="286" t="s">
        <v>254</v>
      </c>
      <c r="D9" s="286" t="s">
        <v>255</v>
      </c>
      <c r="E9" s="286">
        <v>2</v>
      </c>
      <c r="F9" s="286" t="s">
        <v>255</v>
      </c>
      <c r="G9" s="286">
        <v>2</v>
      </c>
      <c r="H9" s="286">
        <v>1</v>
      </c>
      <c r="I9" s="286" t="s">
        <v>254</v>
      </c>
      <c r="J9" s="261"/>
      <c r="K9" s="286" t="s">
        <v>259</v>
      </c>
      <c r="L9" s="262">
        <v>98</v>
      </c>
      <c r="O9" s="534" t="s">
        <v>250</v>
      </c>
      <c r="P9" s="65">
        <f>SUMIF(F$6:F$13,"無し",$L$6:$L$13)</f>
        <v>445</v>
      </c>
      <c r="Q9" s="336">
        <f>SUMIF(F$6:F$13,"有り",$L$6:$L$13)</f>
        <v>438</v>
      </c>
      <c r="S9" s="184">
        <f t="shared" si="0"/>
        <v>1</v>
      </c>
      <c r="T9" s="538" t="str">
        <f>IF(S9=1,"なし","あり")</f>
        <v>なし</v>
      </c>
    </row>
    <row r="10" spans="2:20" ht="13.05" customHeight="1">
      <c r="B10" s="286">
        <v>5</v>
      </c>
      <c r="C10" s="286" t="s">
        <v>255</v>
      </c>
      <c r="D10" s="286" t="s">
        <v>254</v>
      </c>
      <c r="E10" s="286">
        <v>2</v>
      </c>
      <c r="F10" s="286" t="s">
        <v>254</v>
      </c>
      <c r="G10" s="286">
        <v>2</v>
      </c>
      <c r="H10" s="286">
        <v>1</v>
      </c>
      <c r="I10" s="286" t="s">
        <v>255</v>
      </c>
      <c r="J10" s="261"/>
      <c r="K10" s="286" t="s">
        <v>260</v>
      </c>
      <c r="L10" s="262">
        <v>110</v>
      </c>
      <c r="O10" s="534" t="s">
        <v>479</v>
      </c>
      <c r="P10" s="65">
        <f>SUMIF(G$6:G$13,1,$L$6:$L$13)</f>
        <v>431</v>
      </c>
      <c r="Q10" s="336">
        <f>SUMIF(G$6:G$13,2,$L$6:$L$13)</f>
        <v>452</v>
      </c>
      <c r="S10" s="539" t="s">
        <v>238</v>
      </c>
      <c r="T10" s="540" t="s">
        <v>238</v>
      </c>
    </row>
    <row r="11" spans="2:20" ht="13.05" customHeight="1">
      <c r="B11" s="286">
        <v>6</v>
      </c>
      <c r="C11" s="286" t="s">
        <v>255</v>
      </c>
      <c r="D11" s="286" t="s">
        <v>254</v>
      </c>
      <c r="E11" s="286">
        <v>2</v>
      </c>
      <c r="F11" s="286" t="s">
        <v>255</v>
      </c>
      <c r="G11" s="286">
        <v>1</v>
      </c>
      <c r="H11" s="286">
        <v>2</v>
      </c>
      <c r="I11" s="286" t="s">
        <v>254</v>
      </c>
      <c r="J11" s="261"/>
      <c r="K11" s="286" t="s">
        <v>261</v>
      </c>
      <c r="L11" s="262">
        <v>106</v>
      </c>
      <c r="O11" s="534" t="s">
        <v>480</v>
      </c>
      <c r="P11" s="65">
        <f>SUMIF(H$6:H$13,1,$L$6:$L$13)</f>
        <v>438</v>
      </c>
      <c r="Q11" s="336">
        <f>SUMIF(H$6:H$13,2,$L$6:$L$13)</f>
        <v>445</v>
      </c>
      <c r="S11" s="539" t="s">
        <v>238</v>
      </c>
      <c r="T11" s="540" t="s">
        <v>238</v>
      </c>
    </row>
    <row r="12" spans="2:20" ht="13.05" customHeight="1" thickBot="1">
      <c r="B12" s="286">
        <v>7</v>
      </c>
      <c r="C12" s="286" t="s">
        <v>255</v>
      </c>
      <c r="D12" s="286" t="s">
        <v>255</v>
      </c>
      <c r="E12" s="286">
        <v>1</v>
      </c>
      <c r="F12" s="286" t="s">
        <v>254</v>
      </c>
      <c r="G12" s="286">
        <v>2</v>
      </c>
      <c r="H12" s="286">
        <v>2</v>
      </c>
      <c r="I12" s="286" t="s">
        <v>254</v>
      </c>
      <c r="J12" s="261"/>
      <c r="K12" s="286" t="s">
        <v>262</v>
      </c>
      <c r="L12" s="262">
        <v>140</v>
      </c>
      <c r="O12" s="535" t="s">
        <v>253</v>
      </c>
      <c r="P12" s="175">
        <f>SUMIF(I$6:I$13,"無し",$L$6:$L$13)</f>
        <v>444</v>
      </c>
      <c r="Q12" s="338">
        <f>SUMIF(I$6:I$13,"有り",$L$6:$L$13)</f>
        <v>439</v>
      </c>
      <c r="S12" s="191">
        <f t="shared" si="0"/>
        <v>1</v>
      </c>
      <c r="T12" s="541" t="str">
        <f>IF(S12=1,"なし","あり")</f>
        <v>なし</v>
      </c>
    </row>
    <row r="13" spans="2:20" ht="13.05" customHeight="1">
      <c r="B13" s="286">
        <v>8</v>
      </c>
      <c r="C13" s="286" t="s">
        <v>255</v>
      </c>
      <c r="D13" s="286" t="s">
        <v>255</v>
      </c>
      <c r="E13" s="286">
        <v>1</v>
      </c>
      <c r="F13" s="286" t="s">
        <v>255</v>
      </c>
      <c r="G13" s="286">
        <v>1</v>
      </c>
      <c r="H13" s="286">
        <v>1</v>
      </c>
      <c r="I13" s="286" t="s">
        <v>255</v>
      </c>
      <c r="J13" s="261"/>
      <c r="K13" s="286" t="s">
        <v>263</v>
      </c>
      <c r="L13" s="262">
        <v>130</v>
      </c>
    </row>
  </sheetData>
  <mergeCells count="12">
    <mergeCell ref="P4:Q4"/>
    <mergeCell ref="B3:B5"/>
    <mergeCell ref="C3:C4"/>
    <mergeCell ref="D3:D4"/>
    <mergeCell ref="E3:E4"/>
    <mergeCell ref="F3:F4"/>
    <mergeCell ref="G3:G4"/>
    <mergeCell ref="H3:H4"/>
    <mergeCell ref="I3:I4"/>
    <mergeCell ref="K3:K5"/>
    <mergeCell ref="L3:L5"/>
    <mergeCell ref="O4:O5"/>
  </mergeCells>
  <phoneticPr fontId="2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2:J24"/>
  <sheetViews>
    <sheetView workbookViewId="0">
      <selection activeCell="E13" sqref="E13"/>
    </sheetView>
  </sheetViews>
  <sheetFormatPr defaultRowHeight="13.2"/>
  <cols>
    <col min="1" max="3" width="8.77734375" style="422"/>
    <col min="5" max="5" width="27.109375" customWidth="1"/>
  </cols>
  <sheetData>
    <row r="2" spans="2:10">
      <c r="E2" s="688"/>
      <c r="F2" s="688" t="s">
        <v>481</v>
      </c>
      <c r="G2" s="688"/>
    </row>
    <row r="3" spans="2:10">
      <c r="B3" s="286" t="s">
        <v>256</v>
      </c>
      <c r="C3" s="262">
        <v>100</v>
      </c>
      <c r="E3" s="688"/>
      <c r="F3" s="331">
        <v>1</v>
      </c>
      <c r="G3" s="331">
        <v>2</v>
      </c>
    </row>
    <row r="4" spans="2:10" ht="13.05" customHeight="1">
      <c r="B4" s="286" t="s">
        <v>257</v>
      </c>
      <c r="C4" s="262">
        <v>104</v>
      </c>
      <c r="E4" s="167" t="s">
        <v>248</v>
      </c>
      <c r="F4" s="65">
        <v>397</v>
      </c>
      <c r="G4" s="65">
        <v>486</v>
      </c>
    </row>
    <row r="5" spans="2:10" ht="13.05" customHeight="1">
      <c r="B5" s="286" t="s">
        <v>258</v>
      </c>
      <c r="C5" s="262">
        <v>95</v>
      </c>
      <c r="E5" s="167" t="s">
        <v>477</v>
      </c>
      <c r="F5" s="65">
        <v>420</v>
      </c>
      <c r="G5" s="65">
        <v>463</v>
      </c>
    </row>
    <row r="6" spans="2:10" ht="13.05" customHeight="1">
      <c r="B6" s="286" t="s">
        <v>259</v>
      </c>
      <c r="C6" s="262">
        <v>98</v>
      </c>
      <c r="E6" s="167" t="s">
        <v>478</v>
      </c>
      <c r="F6" s="65">
        <v>474</v>
      </c>
      <c r="G6" s="65">
        <v>409</v>
      </c>
    </row>
    <row r="7" spans="2:10" ht="13.05" customHeight="1">
      <c r="B7" s="286" t="s">
        <v>260</v>
      </c>
      <c r="C7" s="262">
        <v>110</v>
      </c>
      <c r="E7" s="167" t="s">
        <v>250</v>
      </c>
      <c r="F7" s="65">
        <v>445</v>
      </c>
      <c r="G7" s="65">
        <v>438</v>
      </c>
    </row>
    <row r="8" spans="2:10" ht="13.05" customHeight="1">
      <c r="B8" s="286" t="s">
        <v>261</v>
      </c>
      <c r="C8" s="262">
        <v>106</v>
      </c>
      <c r="E8" s="167" t="s">
        <v>479</v>
      </c>
      <c r="F8" s="65">
        <v>431</v>
      </c>
      <c r="G8" s="65">
        <v>452</v>
      </c>
    </row>
    <row r="9" spans="2:10" ht="13.05" customHeight="1">
      <c r="B9" s="286" t="s">
        <v>262</v>
      </c>
      <c r="C9" s="262">
        <v>140</v>
      </c>
      <c r="E9" s="167" t="s">
        <v>480</v>
      </c>
      <c r="F9" s="65">
        <v>438</v>
      </c>
      <c r="G9" s="65">
        <v>445</v>
      </c>
    </row>
    <row r="10" spans="2:10" ht="13.05" customHeight="1">
      <c r="B10" s="286" t="s">
        <v>263</v>
      </c>
      <c r="C10" s="262">
        <v>130</v>
      </c>
      <c r="E10" s="167" t="s">
        <v>253</v>
      </c>
      <c r="F10" s="65">
        <v>444</v>
      </c>
      <c r="G10" s="65">
        <v>439</v>
      </c>
    </row>
    <row r="13" spans="2:10" ht="13.8" thickBot="1"/>
    <row r="14" spans="2:10">
      <c r="E14" s="446"/>
      <c r="F14" s="522" t="s">
        <v>460</v>
      </c>
      <c r="G14" s="522" t="s">
        <v>461</v>
      </c>
      <c r="H14" s="522" t="s">
        <v>462</v>
      </c>
      <c r="I14" s="522" t="s">
        <v>464</v>
      </c>
      <c r="J14" s="523" t="s">
        <v>465</v>
      </c>
    </row>
    <row r="15" spans="2:10">
      <c r="E15" s="184" t="s">
        <v>248</v>
      </c>
      <c r="F15" s="51">
        <v>1</v>
      </c>
      <c r="G15" s="65">
        <f>ROUND((F4^2+G4^2)/4-$G$23,1)</f>
        <v>990.1</v>
      </c>
      <c r="H15" s="426">
        <f>ROUND(G15/F15,2)</f>
        <v>990.1</v>
      </c>
      <c r="I15" s="426">
        <f>H15</f>
        <v>990.1</v>
      </c>
      <c r="J15" s="336">
        <f>ROUND(I15/$I$22*100,1)</f>
        <v>54.4</v>
      </c>
    </row>
    <row r="16" spans="2:10">
      <c r="E16" s="184" t="s">
        <v>477</v>
      </c>
      <c r="F16" s="51">
        <v>1</v>
      </c>
      <c r="G16" s="65">
        <f t="shared" ref="G16:G21" si="0">ROUND((F5^2+G5^2)/4-$G$23,1)</f>
        <v>231.1</v>
      </c>
      <c r="H16" s="426">
        <f t="shared" ref="H16:H21" si="1">ROUND(G16/F16,2)</f>
        <v>231.1</v>
      </c>
      <c r="I16" s="426">
        <f t="shared" ref="I16:I21" si="2">H16</f>
        <v>231.1</v>
      </c>
      <c r="J16" s="336">
        <f t="shared" ref="J16:J22" si="3">ROUND(I16/$I$22*100,1)</f>
        <v>12.7</v>
      </c>
    </row>
    <row r="17" spans="5:10">
      <c r="E17" s="184" t="s">
        <v>478</v>
      </c>
      <c r="F17" s="51">
        <v>1</v>
      </c>
      <c r="G17" s="65">
        <f t="shared" si="0"/>
        <v>528.1</v>
      </c>
      <c r="H17" s="426">
        <f t="shared" si="1"/>
        <v>528.1</v>
      </c>
      <c r="I17" s="426">
        <f t="shared" si="2"/>
        <v>528.1</v>
      </c>
      <c r="J17" s="336">
        <f t="shared" si="3"/>
        <v>29</v>
      </c>
    </row>
    <row r="18" spans="5:10">
      <c r="E18" s="184" t="s">
        <v>250</v>
      </c>
      <c r="F18" s="51">
        <v>1</v>
      </c>
      <c r="G18" s="65">
        <f t="shared" si="0"/>
        <v>6.1</v>
      </c>
      <c r="H18" s="426">
        <f t="shared" si="1"/>
        <v>6.1</v>
      </c>
      <c r="I18" s="426">
        <f t="shared" si="2"/>
        <v>6.1</v>
      </c>
      <c r="J18" s="336">
        <f t="shared" si="3"/>
        <v>0.3</v>
      </c>
    </row>
    <row r="19" spans="5:10">
      <c r="E19" s="184" t="s">
        <v>479</v>
      </c>
      <c r="F19" s="51">
        <v>1</v>
      </c>
      <c r="G19" s="65">
        <f t="shared" si="0"/>
        <v>55.1</v>
      </c>
      <c r="H19" s="426">
        <f t="shared" si="1"/>
        <v>55.1</v>
      </c>
      <c r="I19" s="426">
        <f t="shared" si="2"/>
        <v>55.1</v>
      </c>
      <c r="J19" s="546">
        <f t="shared" si="3"/>
        <v>3</v>
      </c>
    </row>
    <row r="20" spans="5:10">
      <c r="E20" s="184" t="s">
        <v>480</v>
      </c>
      <c r="F20" s="51">
        <v>1</v>
      </c>
      <c r="G20" s="65">
        <f t="shared" si="0"/>
        <v>6.1</v>
      </c>
      <c r="H20" s="426">
        <f t="shared" si="1"/>
        <v>6.1</v>
      </c>
      <c r="I20" s="426">
        <f t="shared" si="2"/>
        <v>6.1</v>
      </c>
      <c r="J20" s="336">
        <f t="shared" si="3"/>
        <v>0.3</v>
      </c>
    </row>
    <row r="21" spans="5:10">
      <c r="E21" s="184" t="s">
        <v>253</v>
      </c>
      <c r="F21" s="51">
        <v>1</v>
      </c>
      <c r="G21" s="65">
        <f t="shared" si="0"/>
        <v>3.1</v>
      </c>
      <c r="H21" s="426">
        <f t="shared" si="1"/>
        <v>3.1</v>
      </c>
      <c r="I21" s="426">
        <f t="shared" si="2"/>
        <v>3.1</v>
      </c>
      <c r="J21" s="336">
        <f t="shared" si="3"/>
        <v>0.2</v>
      </c>
    </row>
    <row r="22" spans="5:10" ht="13.8" thickBot="1">
      <c r="E22" s="547" t="s">
        <v>484</v>
      </c>
      <c r="F22" s="548">
        <v>7</v>
      </c>
      <c r="G22" s="549">
        <f>G24-G23</f>
        <v>1819.8999999999942</v>
      </c>
      <c r="H22" s="175"/>
      <c r="I22" s="550">
        <f>G22</f>
        <v>1819.8999999999942</v>
      </c>
      <c r="J22" s="338">
        <f t="shared" si="3"/>
        <v>100</v>
      </c>
    </row>
    <row r="23" spans="5:10">
      <c r="E23" s="543" t="s">
        <v>485</v>
      </c>
      <c r="F23" s="542">
        <v>1</v>
      </c>
      <c r="G23" s="544">
        <f>ROUND(SUM(C3:C10)^2/COUNT(C3:C10),1)</f>
        <v>97461.1</v>
      </c>
    </row>
    <row r="24" spans="5:10">
      <c r="E24" s="543" t="s">
        <v>486</v>
      </c>
      <c r="F24" s="542">
        <v>8</v>
      </c>
      <c r="G24" s="545">
        <f>ROUND(SUMSQ(C3:C10),1)</f>
        <v>99281</v>
      </c>
    </row>
  </sheetData>
  <mergeCells count="2">
    <mergeCell ref="E2:E3"/>
    <mergeCell ref="F2:G2"/>
  </mergeCells>
  <phoneticPr fontId="2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H13" sqref="H13"/>
    </sheetView>
  </sheetViews>
  <sheetFormatPr defaultRowHeight="13.2"/>
  <sheetData>
    <row r="1" spans="1:11">
      <c r="A1" s="263"/>
      <c r="B1" s="264" t="s">
        <v>167</v>
      </c>
      <c r="C1" s="264" t="s">
        <v>168</v>
      </c>
      <c r="D1" s="264" t="s">
        <v>169</v>
      </c>
      <c r="E1" s="265" t="s">
        <v>170</v>
      </c>
      <c r="F1" s="266" t="s">
        <v>267</v>
      </c>
      <c r="G1" s="428"/>
      <c r="H1" s="689"/>
      <c r="I1" s="691" t="s">
        <v>487</v>
      </c>
      <c r="J1" s="691"/>
      <c r="K1" s="691"/>
    </row>
    <row r="2" spans="1:11" ht="13.8" thickBot="1">
      <c r="A2" s="267" t="s">
        <v>268</v>
      </c>
      <c r="B2" s="268">
        <v>1</v>
      </c>
      <c r="C2" s="268">
        <v>2</v>
      </c>
      <c r="D2" s="268">
        <v>3</v>
      </c>
      <c r="E2" s="269">
        <v>4</v>
      </c>
      <c r="F2" s="270" t="s">
        <v>269</v>
      </c>
      <c r="G2" s="428"/>
      <c r="H2" s="690"/>
      <c r="I2" s="551">
        <v>1</v>
      </c>
      <c r="J2" s="551">
        <v>2</v>
      </c>
      <c r="K2" s="551">
        <v>3</v>
      </c>
    </row>
    <row r="3" spans="1:11" ht="13.8" thickTop="1">
      <c r="A3" s="271">
        <v>1</v>
      </c>
      <c r="B3" s="272">
        <v>1</v>
      </c>
      <c r="C3" s="272">
        <v>1</v>
      </c>
      <c r="D3" s="272">
        <v>1</v>
      </c>
      <c r="E3" s="273">
        <v>1</v>
      </c>
      <c r="F3" s="274">
        <v>22</v>
      </c>
      <c r="G3" s="428"/>
      <c r="H3" s="552" t="str">
        <f>B1</f>
        <v>A</v>
      </c>
      <c r="I3" s="282">
        <f>SUMIF($B$3:$B$11,1,$F$3:$F$11)</f>
        <v>41</v>
      </c>
      <c r="J3" s="282">
        <f>SUMIF($B$3:$B$11,2,$F$3:$F$11)</f>
        <v>350</v>
      </c>
      <c r="K3" s="282">
        <f>SUMIF($B$3:$B$11,3,$F$3:$F$11)</f>
        <v>82</v>
      </c>
    </row>
    <row r="4" spans="1:11">
      <c r="A4" s="251">
        <v>2</v>
      </c>
      <c r="B4" s="275">
        <v>1</v>
      </c>
      <c r="C4" s="275">
        <v>2</v>
      </c>
      <c r="D4" s="275">
        <v>2</v>
      </c>
      <c r="E4" s="276">
        <v>2</v>
      </c>
      <c r="F4" s="277">
        <v>7</v>
      </c>
      <c r="G4" s="428"/>
      <c r="H4" s="552" t="str">
        <f>C1</f>
        <v>B</v>
      </c>
      <c r="I4" s="282">
        <f>SUMIF($C$3:$C$11,1,$F$3:$F$11)</f>
        <v>74</v>
      </c>
      <c r="J4" s="282">
        <f>SUMIF($C$3:$C$11,2,$F$3:$F$11)</f>
        <v>11</v>
      </c>
      <c r="K4" s="282">
        <f>SUMIF($C$3:$C$11,3,$F$3:$F$11)</f>
        <v>388</v>
      </c>
    </row>
    <row r="5" spans="1:11">
      <c r="A5" s="251">
        <v>3</v>
      </c>
      <c r="B5" s="275">
        <v>1</v>
      </c>
      <c r="C5" s="275">
        <v>3</v>
      </c>
      <c r="D5" s="275">
        <v>3</v>
      </c>
      <c r="E5" s="276">
        <v>3</v>
      </c>
      <c r="F5" s="277">
        <v>12</v>
      </c>
      <c r="G5" s="428"/>
      <c r="H5" s="552" t="str">
        <f>D1</f>
        <v>C</v>
      </c>
      <c r="I5" s="282">
        <f>SUMIF($D$3:$D$11,1,$F$3:$F$11)</f>
        <v>367</v>
      </c>
      <c r="J5" s="282">
        <f>SUMIF($D$3:$D$11,2,$F$3:$F$11)</f>
        <v>45</v>
      </c>
      <c r="K5" s="282">
        <f>SUMIF($D$3:$D$11,3,$F$3:$F$11)</f>
        <v>61</v>
      </c>
    </row>
    <row r="6" spans="1:11">
      <c r="A6" s="251">
        <v>4</v>
      </c>
      <c r="B6" s="275">
        <v>2</v>
      </c>
      <c r="C6" s="275">
        <v>1</v>
      </c>
      <c r="D6" s="275">
        <v>2</v>
      </c>
      <c r="E6" s="276">
        <v>3</v>
      </c>
      <c r="F6" s="277">
        <v>5</v>
      </c>
      <c r="G6" s="428"/>
      <c r="H6" s="552" t="str">
        <f>E1</f>
        <v>D</v>
      </c>
      <c r="I6" s="282">
        <f>SUMIF($E$3:$E$11,1,$F$3:$F$11)</f>
        <v>57</v>
      </c>
      <c r="J6" s="282">
        <f>SUMIF($E$3:$E$11,2,$F$3:$F$11)</f>
        <v>397</v>
      </c>
      <c r="K6" s="282">
        <f>SUMIF($E$3:$E$11,3,$F$3:$F$11)</f>
        <v>19</v>
      </c>
    </row>
    <row r="7" spans="1:11">
      <c r="A7" s="251">
        <v>5</v>
      </c>
      <c r="B7" s="275">
        <v>2</v>
      </c>
      <c r="C7" s="275">
        <v>2</v>
      </c>
      <c r="D7" s="275">
        <v>3</v>
      </c>
      <c r="E7" s="276">
        <v>1</v>
      </c>
      <c r="F7" s="277">
        <v>2</v>
      </c>
      <c r="G7" s="428"/>
      <c r="H7" s="428" t="s">
        <v>488</v>
      </c>
      <c r="I7" s="428"/>
      <c r="J7" s="428"/>
      <c r="K7" s="428"/>
    </row>
    <row r="8" spans="1:11">
      <c r="A8" s="251">
        <v>6</v>
      </c>
      <c r="B8" s="275">
        <v>2</v>
      </c>
      <c r="C8" s="275">
        <v>3</v>
      </c>
      <c r="D8" s="275">
        <v>1</v>
      </c>
      <c r="E8" s="276">
        <v>2</v>
      </c>
      <c r="F8" s="277">
        <v>343</v>
      </c>
      <c r="G8" s="428"/>
      <c r="H8" s="553" t="str">
        <f>B1</f>
        <v>A</v>
      </c>
      <c r="I8" s="8">
        <f>INDEX($I$2:$K$2,MATCH(MIN(I3:K3),I3:K3,0))</f>
        <v>1</v>
      </c>
      <c r="J8" s="428"/>
      <c r="K8" s="428"/>
    </row>
    <row r="9" spans="1:11">
      <c r="A9" s="251">
        <v>7</v>
      </c>
      <c r="B9" s="275">
        <v>3</v>
      </c>
      <c r="C9" s="275">
        <v>1</v>
      </c>
      <c r="D9" s="275">
        <v>3</v>
      </c>
      <c r="E9" s="276">
        <v>2</v>
      </c>
      <c r="F9" s="277">
        <v>47</v>
      </c>
      <c r="G9" s="428"/>
      <c r="H9" s="553" t="str">
        <f>C1</f>
        <v>B</v>
      </c>
      <c r="I9" s="8">
        <f t="shared" ref="I9:I11" si="0">INDEX($I$2:$K$2,MATCH(MIN(I4:K4),I4:K4,0))</f>
        <v>2</v>
      </c>
      <c r="J9" s="428"/>
      <c r="K9" s="428"/>
    </row>
    <row r="10" spans="1:11">
      <c r="A10" s="251">
        <v>8</v>
      </c>
      <c r="B10" s="275">
        <v>3</v>
      </c>
      <c r="C10" s="275">
        <v>2</v>
      </c>
      <c r="D10" s="275">
        <v>1</v>
      </c>
      <c r="E10" s="276">
        <v>3</v>
      </c>
      <c r="F10" s="277">
        <v>2</v>
      </c>
      <c r="G10" s="428"/>
      <c r="H10" s="553" t="str">
        <f>D1</f>
        <v>C</v>
      </c>
      <c r="I10" s="8">
        <f t="shared" si="0"/>
        <v>2</v>
      </c>
      <c r="J10" s="428"/>
      <c r="K10" s="428"/>
    </row>
    <row r="11" spans="1:11">
      <c r="A11" s="251">
        <v>9</v>
      </c>
      <c r="B11" s="275">
        <v>3</v>
      </c>
      <c r="C11" s="275">
        <v>3</v>
      </c>
      <c r="D11" s="275">
        <v>2</v>
      </c>
      <c r="E11" s="276">
        <v>1</v>
      </c>
      <c r="F11" s="277">
        <v>33</v>
      </c>
      <c r="G11" s="428"/>
      <c r="H11" s="553" t="str">
        <f>E1</f>
        <v>D</v>
      </c>
      <c r="I11" s="8">
        <f t="shared" si="0"/>
        <v>3</v>
      </c>
      <c r="J11" s="428"/>
      <c r="K11" s="428"/>
    </row>
  </sheetData>
  <mergeCells count="2">
    <mergeCell ref="H1:H2"/>
    <mergeCell ref="I1:K1"/>
  </mergeCells>
  <phoneticPr fontId="2"/>
  <conditionalFormatting sqref="I3">
    <cfRule type="expression" dxfId="2" priority="3" stopIfTrue="1">
      <formula>$L$11=1</formula>
    </cfRule>
  </conditionalFormatting>
  <conditionalFormatting sqref="J3:K3">
    <cfRule type="expression" dxfId="1" priority="2" stopIfTrue="1">
      <formula>$L$11=1</formula>
    </cfRule>
  </conditionalFormatting>
  <conditionalFormatting sqref="I4:K6">
    <cfRule type="expression" dxfId="0" priority="1" stopIfTrue="1">
      <formula>$L$11=1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A23" sqref="A23"/>
    </sheetView>
  </sheetViews>
  <sheetFormatPr defaultRowHeight="13.2"/>
  <cols>
    <col min="1" max="1" width="7" customWidth="1"/>
  </cols>
  <sheetData>
    <row r="1" spans="1:16">
      <c r="A1" s="689" t="s">
        <v>268</v>
      </c>
      <c r="B1" s="264" t="s">
        <v>270</v>
      </c>
      <c r="C1" s="264" t="s">
        <v>271</v>
      </c>
      <c r="D1" s="264" t="s">
        <v>272</v>
      </c>
      <c r="E1" s="264" t="s">
        <v>273</v>
      </c>
      <c r="F1" s="264" t="s">
        <v>274</v>
      </c>
      <c r="G1" s="264"/>
      <c r="H1" s="264" t="s">
        <v>275</v>
      </c>
      <c r="I1" s="265" t="s">
        <v>276</v>
      </c>
      <c r="J1" s="698" t="s">
        <v>277</v>
      </c>
      <c r="K1" s="428"/>
      <c r="L1" s="700"/>
      <c r="M1" s="700" t="s">
        <v>489</v>
      </c>
      <c r="N1" s="700"/>
      <c r="O1" s="700"/>
      <c r="P1" s="428"/>
    </row>
    <row r="2" spans="1:16" ht="13.8" thickBot="1">
      <c r="A2" s="697"/>
      <c r="B2" s="268">
        <v>1</v>
      </c>
      <c r="C2" s="268">
        <v>2</v>
      </c>
      <c r="D2" s="268">
        <v>3</v>
      </c>
      <c r="E2" s="268">
        <v>4</v>
      </c>
      <c r="F2" s="268">
        <v>5</v>
      </c>
      <c r="G2" s="268">
        <v>6</v>
      </c>
      <c r="H2" s="268">
        <v>7</v>
      </c>
      <c r="I2" s="269">
        <v>8</v>
      </c>
      <c r="J2" s="699"/>
      <c r="K2" s="428"/>
      <c r="L2" s="701"/>
      <c r="M2" s="554">
        <v>1</v>
      </c>
      <c r="N2" s="554">
        <v>2</v>
      </c>
      <c r="O2" s="554">
        <v>3</v>
      </c>
      <c r="P2" s="428"/>
    </row>
    <row r="3" spans="1:16" ht="13.8" thickTop="1">
      <c r="A3" s="271">
        <v>1</v>
      </c>
      <c r="B3" s="278">
        <v>1</v>
      </c>
      <c r="C3" s="278">
        <v>1</v>
      </c>
      <c r="D3" s="278">
        <v>1</v>
      </c>
      <c r="E3" s="278">
        <v>1</v>
      </c>
      <c r="F3" s="279">
        <v>1</v>
      </c>
      <c r="G3" s="279">
        <v>1</v>
      </c>
      <c r="H3" s="279">
        <v>1</v>
      </c>
      <c r="I3" s="280">
        <v>1</v>
      </c>
      <c r="J3" s="236">
        <v>6.27</v>
      </c>
      <c r="K3" s="428"/>
      <c r="L3" s="555" t="s">
        <v>270</v>
      </c>
      <c r="M3" s="556">
        <f>SUMIF(B$3:B$20,1,$J$3:$J$20)</f>
        <v>26.909999999999997</v>
      </c>
      <c r="N3" s="556">
        <f>SUMIF(B$3:B$20,2,$J$3:$J$20)</f>
        <v>23.11</v>
      </c>
      <c r="O3" s="557" t="s">
        <v>238</v>
      </c>
      <c r="P3" s="428"/>
    </row>
    <row r="4" spans="1:16">
      <c r="A4" s="251">
        <v>2</v>
      </c>
      <c r="B4" s="281">
        <v>1</v>
      </c>
      <c r="C4" s="281">
        <v>1</v>
      </c>
      <c r="D4" s="281">
        <v>2</v>
      </c>
      <c r="E4" s="281">
        <v>2</v>
      </c>
      <c r="F4" s="282">
        <v>2</v>
      </c>
      <c r="G4" s="282">
        <v>2</v>
      </c>
      <c r="H4" s="282">
        <v>2</v>
      </c>
      <c r="I4" s="283">
        <v>2</v>
      </c>
      <c r="J4" s="8">
        <v>3.73</v>
      </c>
      <c r="K4" s="428"/>
      <c r="L4" s="558" t="s">
        <v>271</v>
      </c>
      <c r="M4" s="242">
        <f>SUMIF(C$3:C$20,1,$J$3:$J$20)</f>
        <v>29.46</v>
      </c>
      <c r="N4" s="242">
        <f>SUMIF(C$3:C$20,2,$J$3:$J$20)</f>
        <v>15.079999999999998</v>
      </c>
      <c r="O4" s="242">
        <f>SUMIF(C$3:C$20,3,$J$3:$J$20)</f>
        <v>5.48</v>
      </c>
      <c r="P4" s="428"/>
    </row>
    <row r="5" spans="1:16">
      <c r="A5" s="251">
        <v>3</v>
      </c>
      <c r="B5" s="281">
        <v>1</v>
      </c>
      <c r="C5" s="281">
        <v>1</v>
      </c>
      <c r="D5" s="281">
        <v>3</v>
      </c>
      <c r="E5" s="281">
        <v>3</v>
      </c>
      <c r="F5" s="282">
        <v>3</v>
      </c>
      <c r="G5" s="282">
        <v>3</v>
      </c>
      <c r="H5" s="282">
        <v>3</v>
      </c>
      <c r="I5" s="283">
        <v>3</v>
      </c>
      <c r="J5" s="8">
        <v>7.07</v>
      </c>
      <c r="K5" s="428"/>
      <c r="L5" s="558" t="s">
        <v>272</v>
      </c>
      <c r="M5" s="242">
        <f>SUMIF(D$3:D$20,1,$J$3:$J$20)</f>
        <v>17.22</v>
      </c>
      <c r="N5" s="242">
        <f>SUMIF(D$3:D$20,2,$J$3:$J$20)</f>
        <v>14.469999999999999</v>
      </c>
      <c r="O5" s="242">
        <f>SUMIF(D$3:D$20,3,$J$3:$J$20)</f>
        <v>18.330000000000002</v>
      </c>
      <c r="P5" s="428"/>
    </row>
    <row r="6" spans="1:16">
      <c r="A6" s="251">
        <v>4</v>
      </c>
      <c r="B6" s="281">
        <v>1</v>
      </c>
      <c r="C6" s="281">
        <v>2</v>
      </c>
      <c r="D6" s="281">
        <v>1</v>
      </c>
      <c r="E6" s="281">
        <v>1</v>
      </c>
      <c r="F6" s="282">
        <v>2</v>
      </c>
      <c r="G6" s="282">
        <v>2</v>
      </c>
      <c r="H6" s="282">
        <v>3</v>
      </c>
      <c r="I6" s="283">
        <v>3</v>
      </c>
      <c r="J6" s="8">
        <v>3.34</v>
      </c>
      <c r="K6" s="428"/>
      <c r="L6" s="558" t="s">
        <v>273</v>
      </c>
      <c r="M6" s="242">
        <f>SUMIF(E$3:E$20,1,$J$3:$J$20)</f>
        <v>19.72</v>
      </c>
      <c r="N6" s="242">
        <f>SUMIF(E$3:E$20,2,$J$3:$J$20)</f>
        <v>13.31</v>
      </c>
      <c r="O6" s="242">
        <f>SUMIF(E$3:E$20,3,$J$3:$J$20)</f>
        <v>16.990000000000002</v>
      </c>
      <c r="P6" s="428"/>
    </row>
    <row r="7" spans="1:16">
      <c r="A7" s="251">
        <v>5</v>
      </c>
      <c r="B7" s="281">
        <v>1</v>
      </c>
      <c r="C7" s="281">
        <v>2</v>
      </c>
      <c r="D7" s="281">
        <v>2</v>
      </c>
      <c r="E7" s="281">
        <v>2</v>
      </c>
      <c r="F7" s="282">
        <v>3</v>
      </c>
      <c r="G7" s="282">
        <v>3</v>
      </c>
      <c r="H7" s="282">
        <v>1</v>
      </c>
      <c r="I7" s="283">
        <v>1</v>
      </c>
      <c r="J7" s="8">
        <v>2.4900000000000002</v>
      </c>
      <c r="K7" s="428"/>
      <c r="L7" s="558" t="s">
        <v>274</v>
      </c>
      <c r="M7" s="242">
        <f>SUMIF(F$3:F$20,1,$J$3:$J$20)</f>
        <v>15.169999999999998</v>
      </c>
      <c r="N7" s="242">
        <f>SUMIF(F$3:F$20,2,$J$3:$J$20)</f>
        <v>15.66</v>
      </c>
      <c r="O7" s="242">
        <f>SUMIF(F$3:F$20,3,$J$3:$J$20)</f>
        <v>19.190000000000001</v>
      </c>
      <c r="P7" s="428"/>
    </row>
    <row r="8" spans="1:16">
      <c r="A8" s="251">
        <v>6</v>
      </c>
      <c r="B8" s="281">
        <v>1</v>
      </c>
      <c r="C8" s="281">
        <v>2</v>
      </c>
      <c r="D8" s="281">
        <v>3</v>
      </c>
      <c r="E8" s="281">
        <v>3</v>
      </c>
      <c r="F8" s="282">
        <v>1</v>
      </c>
      <c r="G8" s="282">
        <v>1</v>
      </c>
      <c r="H8" s="282">
        <v>2</v>
      </c>
      <c r="I8" s="283">
        <v>2</v>
      </c>
      <c r="J8" s="8">
        <v>1.72</v>
      </c>
      <c r="K8" s="428"/>
      <c r="L8" s="558" t="s">
        <v>490</v>
      </c>
      <c r="M8" s="242">
        <f>SUMIF(G$3:G$20,1,$J$3:$J$20)</f>
        <v>16.149999999999999</v>
      </c>
      <c r="N8" s="242">
        <f>SUMIF(G$3:G$20,2,$J$3:$J$20)</f>
        <v>16.22</v>
      </c>
      <c r="O8" s="242">
        <f>SUMIF(G$3:G$20,3,$J$3:$J$20)</f>
        <v>17.650000000000002</v>
      </c>
      <c r="P8" s="428"/>
    </row>
    <row r="9" spans="1:16">
      <c r="A9" s="251">
        <v>7</v>
      </c>
      <c r="B9" s="281">
        <v>1</v>
      </c>
      <c r="C9" s="281">
        <v>3</v>
      </c>
      <c r="D9" s="281">
        <v>1</v>
      </c>
      <c r="E9" s="281">
        <v>2</v>
      </c>
      <c r="F9" s="282">
        <v>1</v>
      </c>
      <c r="G9" s="282">
        <v>3</v>
      </c>
      <c r="H9" s="282">
        <v>2</v>
      </c>
      <c r="I9" s="283">
        <v>3</v>
      </c>
      <c r="J9" s="8">
        <v>-0.01</v>
      </c>
      <c r="K9" s="428"/>
      <c r="L9" s="558" t="s">
        <v>491</v>
      </c>
      <c r="M9" s="242">
        <f>SUMIF(H$3:H$20,1,$J$3:$J$20)</f>
        <v>15.21</v>
      </c>
      <c r="N9" s="242">
        <f>SUMIF(H$3:H$20,2,$J$3:$J$20)</f>
        <v>15.350000000000001</v>
      </c>
      <c r="O9" s="242">
        <f>SUMIF(H$3:H$20,3,$J$3:$J$20)</f>
        <v>19.46</v>
      </c>
      <c r="P9" s="428"/>
    </row>
    <row r="10" spans="1:16">
      <c r="A10" s="251">
        <v>8</v>
      </c>
      <c r="B10" s="281">
        <v>1</v>
      </c>
      <c r="C10" s="281">
        <v>3</v>
      </c>
      <c r="D10" s="281">
        <v>2</v>
      </c>
      <c r="E10" s="281">
        <v>3</v>
      </c>
      <c r="F10" s="282">
        <v>2</v>
      </c>
      <c r="G10" s="282">
        <v>1</v>
      </c>
      <c r="H10" s="282">
        <v>3</v>
      </c>
      <c r="I10" s="283">
        <v>1</v>
      </c>
      <c r="J10" s="8">
        <v>1.22</v>
      </c>
      <c r="K10" s="428"/>
      <c r="L10" s="558" t="s">
        <v>492</v>
      </c>
      <c r="M10" s="242">
        <f>SUMIF(I$3:I$20,1,$J$3:$J$20)</f>
        <v>20.05</v>
      </c>
      <c r="N10" s="242">
        <f>SUMIF(I$3:I$20,2,$J$3:$J$20)</f>
        <v>13.27</v>
      </c>
      <c r="O10" s="242">
        <f>SUMIF(I$3:I$20,3,$J$3:$J$20)</f>
        <v>16.7</v>
      </c>
      <c r="P10" s="428"/>
    </row>
    <row r="11" spans="1:16">
      <c r="A11" s="251">
        <v>9</v>
      </c>
      <c r="B11" s="281">
        <v>1</v>
      </c>
      <c r="C11" s="281">
        <v>3</v>
      </c>
      <c r="D11" s="281">
        <v>3</v>
      </c>
      <c r="E11" s="281">
        <v>1</v>
      </c>
      <c r="F11" s="282">
        <v>3</v>
      </c>
      <c r="G11" s="282">
        <v>2</v>
      </c>
      <c r="H11" s="282">
        <v>1</v>
      </c>
      <c r="I11" s="283">
        <v>2</v>
      </c>
      <c r="J11" s="8">
        <v>1.08</v>
      </c>
      <c r="K11" s="428"/>
      <c r="L11" s="428"/>
      <c r="M11" s="428"/>
      <c r="N11" s="428"/>
      <c r="O11" s="428"/>
      <c r="P11" s="428"/>
    </row>
    <row r="12" spans="1:16">
      <c r="A12" s="251">
        <v>10</v>
      </c>
      <c r="B12" s="281">
        <v>2</v>
      </c>
      <c r="C12" s="281">
        <v>1</v>
      </c>
      <c r="D12" s="281">
        <v>1</v>
      </c>
      <c r="E12" s="281">
        <v>3</v>
      </c>
      <c r="F12" s="282">
        <v>3</v>
      </c>
      <c r="G12" s="282">
        <v>2</v>
      </c>
      <c r="H12" s="282">
        <v>2</v>
      </c>
      <c r="I12" s="283">
        <v>1</v>
      </c>
      <c r="J12" s="8">
        <v>4.96</v>
      </c>
      <c r="K12" s="428"/>
      <c r="L12" s="428"/>
      <c r="M12" s="428"/>
      <c r="N12" s="428"/>
      <c r="O12" s="428"/>
      <c r="P12" s="428"/>
    </row>
    <row r="13" spans="1:16">
      <c r="A13" s="251">
        <v>11</v>
      </c>
      <c r="B13" s="281">
        <v>2</v>
      </c>
      <c r="C13" s="281">
        <v>1</v>
      </c>
      <c r="D13" s="281">
        <v>2</v>
      </c>
      <c r="E13" s="281">
        <v>1</v>
      </c>
      <c r="F13" s="282">
        <v>1</v>
      </c>
      <c r="G13" s="282">
        <v>3</v>
      </c>
      <c r="H13" s="282">
        <v>3</v>
      </c>
      <c r="I13" s="283">
        <v>2</v>
      </c>
      <c r="J13" s="8">
        <v>4.08</v>
      </c>
      <c r="K13" s="428"/>
      <c r="L13" s="428" t="s">
        <v>488</v>
      </c>
      <c r="M13" s="428"/>
      <c r="N13" s="428"/>
      <c r="O13" s="428"/>
      <c r="P13" s="428"/>
    </row>
    <row r="14" spans="1:16">
      <c r="A14" s="251">
        <v>12</v>
      </c>
      <c r="B14" s="281">
        <v>2</v>
      </c>
      <c r="C14" s="281">
        <v>1</v>
      </c>
      <c r="D14" s="281">
        <v>3</v>
      </c>
      <c r="E14" s="281">
        <v>2</v>
      </c>
      <c r="F14" s="282">
        <v>2</v>
      </c>
      <c r="G14" s="282">
        <v>1</v>
      </c>
      <c r="H14" s="282">
        <v>1</v>
      </c>
      <c r="I14" s="283">
        <v>3</v>
      </c>
      <c r="J14" s="8">
        <v>3.35</v>
      </c>
      <c r="K14" s="428"/>
      <c r="L14" s="558" t="s">
        <v>270</v>
      </c>
      <c r="M14" s="242">
        <f>INDEX($M$2:$O$2,MATCH(MIN(M3:O3),M3:O3,0))</f>
        <v>2</v>
      </c>
      <c r="N14" s="428"/>
      <c r="O14" s="428"/>
      <c r="P14" s="428"/>
    </row>
    <row r="15" spans="1:16">
      <c r="A15" s="251">
        <v>13</v>
      </c>
      <c r="B15" s="281">
        <v>2</v>
      </c>
      <c r="C15" s="281">
        <v>2</v>
      </c>
      <c r="D15" s="281">
        <v>1</v>
      </c>
      <c r="E15" s="281">
        <v>2</v>
      </c>
      <c r="F15" s="282">
        <v>3</v>
      </c>
      <c r="G15" s="282">
        <v>1</v>
      </c>
      <c r="H15" s="282">
        <v>3</v>
      </c>
      <c r="I15" s="283">
        <v>2</v>
      </c>
      <c r="J15" s="8">
        <v>2.27</v>
      </c>
      <c r="K15" s="428"/>
      <c r="L15" s="558" t="s">
        <v>271</v>
      </c>
      <c r="M15" s="242">
        <f t="shared" ref="M15:M18" si="0">INDEX($M$2:$O$2,MATCH(MIN(M4:O4),M4:O4,0))</f>
        <v>3</v>
      </c>
      <c r="N15" s="428"/>
      <c r="O15" s="428"/>
      <c r="P15" s="428"/>
    </row>
    <row r="16" spans="1:16">
      <c r="A16" s="251">
        <v>14</v>
      </c>
      <c r="B16" s="281">
        <v>2</v>
      </c>
      <c r="C16" s="281">
        <v>2</v>
      </c>
      <c r="D16" s="281">
        <v>2</v>
      </c>
      <c r="E16" s="281">
        <v>3</v>
      </c>
      <c r="F16" s="282">
        <v>1</v>
      </c>
      <c r="G16" s="282">
        <v>2</v>
      </c>
      <c r="H16" s="282">
        <v>1</v>
      </c>
      <c r="I16" s="283">
        <v>3</v>
      </c>
      <c r="J16" s="8">
        <v>1.63</v>
      </c>
      <c r="K16" s="428"/>
      <c r="L16" s="558" t="s">
        <v>272</v>
      </c>
      <c r="M16" s="242">
        <f t="shared" si="0"/>
        <v>2</v>
      </c>
      <c r="N16" s="428"/>
      <c r="O16" s="428"/>
      <c r="P16" s="428"/>
    </row>
    <row r="17" spans="1:16">
      <c r="A17" s="251">
        <v>15</v>
      </c>
      <c r="B17" s="281">
        <v>2</v>
      </c>
      <c r="C17" s="281">
        <v>2</v>
      </c>
      <c r="D17" s="281">
        <v>3</v>
      </c>
      <c r="E17" s="281">
        <v>1</v>
      </c>
      <c r="F17" s="282">
        <v>2</v>
      </c>
      <c r="G17" s="282">
        <v>3</v>
      </c>
      <c r="H17" s="282">
        <v>2</v>
      </c>
      <c r="I17" s="283">
        <v>1</v>
      </c>
      <c r="J17" s="8">
        <v>3.63</v>
      </c>
      <c r="K17" s="428"/>
      <c r="L17" s="558" t="s">
        <v>273</v>
      </c>
      <c r="M17" s="242">
        <f t="shared" si="0"/>
        <v>2</v>
      </c>
      <c r="N17" s="428"/>
      <c r="O17" s="428"/>
      <c r="P17" s="428"/>
    </row>
    <row r="18" spans="1:16">
      <c r="A18" s="251">
        <v>16</v>
      </c>
      <c r="B18" s="281">
        <v>2</v>
      </c>
      <c r="C18" s="281">
        <v>3</v>
      </c>
      <c r="D18" s="281">
        <v>1</v>
      </c>
      <c r="E18" s="281">
        <v>3</v>
      </c>
      <c r="F18" s="282">
        <v>2</v>
      </c>
      <c r="G18" s="282">
        <v>3</v>
      </c>
      <c r="H18" s="282">
        <v>1</v>
      </c>
      <c r="I18" s="283">
        <v>2</v>
      </c>
      <c r="J18" s="8">
        <v>0.39</v>
      </c>
      <c r="K18" s="428"/>
      <c r="L18" s="558" t="s">
        <v>274</v>
      </c>
      <c r="M18" s="242">
        <f t="shared" si="0"/>
        <v>1</v>
      </c>
      <c r="N18" s="428"/>
      <c r="O18" s="428"/>
      <c r="P18" s="428"/>
    </row>
    <row r="19" spans="1:16">
      <c r="A19" s="251">
        <v>17</v>
      </c>
      <c r="B19" s="281">
        <v>2</v>
      </c>
      <c r="C19" s="281">
        <v>3</v>
      </c>
      <c r="D19" s="281">
        <v>2</v>
      </c>
      <c r="E19" s="281">
        <v>1</v>
      </c>
      <c r="F19" s="282">
        <v>3</v>
      </c>
      <c r="G19" s="282">
        <v>1</v>
      </c>
      <c r="H19" s="282">
        <v>2</v>
      </c>
      <c r="I19" s="283">
        <v>3</v>
      </c>
      <c r="J19" s="8">
        <v>1.32</v>
      </c>
      <c r="K19" s="428"/>
      <c r="L19" s="558" t="s">
        <v>491</v>
      </c>
      <c r="M19" s="242">
        <f>INDEX($M$2:$O$2,MATCH(MIN(M9:O9),M9:O9,0))</f>
        <v>1</v>
      </c>
      <c r="N19" s="428"/>
      <c r="O19" s="428"/>
      <c r="P19" s="428"/>
    </row>
    <row r="20" spans="1:16">
      <c r="A20" s="251">
        <v>18</v>
      </c>
      <c r="B20" s="281">
        <v>2</v>
      </c>
      <c r="C20" s="281">
        <v>3</v>
      </c>
      <c r="D20" s="281">
        <v>3</v>
      </c>
      <c r="E20" s="281">
        <v>2</v>
      </c>
      <c r="F20" s="282">
        <v>1</v>
      </c>
      <c r="G20" s="282">
        <v>2</v>
      </c>
      <c r="H20" s="282">
        <v>3</v>
      </c>
      <c r="I20" s="283">
        <v>1</v>
      </c>
      <c r="J20" s="8">
        <v>1.48</v>
      </c>
      <c r="K20" s="428"/>
      <c r="L20" s="558" t="s">
        <v>492</v>
      </c>
      <c r="M20" s="242">
        <f>INDEX($M$2:$O$2,MATCH(MIN(M10:O10),M10:O10,0))</f>
        <v>2</v>
      </c>
      <c r="N20" s="428"/>
      <c r="O20" s="428"/>
      <c r="P20" s="428"/>
    </row>
    <row r="21" spans="1:16">
      <c r="A21" s="428"/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</row>
    <row r="22" spans="1:16">
      <c r="A22" s="428"/>
      <c r="B22" s="428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</row>
    <row r="23" spans="1:16">
      <c r="A23" s="428"/>
      <c r="B23" s="702" t="s">
        <v>493</v>
      </c>
      <c r="C23" s="702"/>
      <c r="D23" s="703" t="s">
        <v>494</v>
      </c>
      <c r="E23" s="703"/>
      <c r="F23" s="703" t="s">
        <v>495</v>
      </c>
      <c r="G23" s="703"/>
      <c r="H23" s="703" t="s">
        <v>496</v>
      </c>
      <c r="I23" s="703"/>
      <c r="J23" s="559" t="s">
        <v>497</v>
      </c>
      <c r="K23" s="703" t="s">
        <v>498</v>
      </c>
      <c r="L23" s="703"/>
      <c r="M23" s="560" t="s">
        <v>499</v>
      </c>
      <c r="N23" s="428"/>
      <c r="O23" s="428"/>
      <c r="P23" s="428"/>
    </row>
    <row r="24" spans="1:16">
      <c r="A24" s="428"/>
      <c r="B24" s="632" t="s">
        <v>270</v>
      </c>
      <c r="C24" s="632"/>
      <c r="D24" s="635">
        <v>1</v>
      </c>
      <c r="E24" s="635"/>
      <c r="F24" s="639">
        <f>ROUND((M3^2+N3^2)/9-F33,3)</f>
        <v>0.80200000000000005</v>
      </c>
      <c r="G24" s="639"/>
      <c r="H24" s="696">
        <f>ROUND(F24/D24,4)</f>
        <v>0.80200000000000005</v>
      </c>
      <c r="I24" s="696"/>
      <c r="J24" s="8" t="str">
        <f>IF(F24-D24*$H$31&lt;0,"",F24-D24*$H$31)</f>
        <v/>
      </c>
      <c r="K24" s="635" t="str">
        <f>IF(J24&lt;&gt;"",J24/$J$32*100,"")</f>
        <v/>
      </c>
      <c r="L24" s="635" t="str">
        <f t="shared" ref="L24:L32" si="1">IF(J24&lt;&gt;"",J24/$K$32*100,"")</f>
        <v/>
      </c>
      <c r="M24" s="8"/>
      <c r="N24" s="428"/>
      <c r="O24" s="428"/>
      <c r="P24" s="428"/>
    </row>
    <row r="25" spans="1:16">
      <c r="A25" s="428"/>
      <c r="B25" s="632" t="s">
        <v>271</v>
      </c>
      <c r="C25" s="632"/>
      <c r="D25" s="635">
        <v>2</v>
      </c>
      <c r="E25" s="635"/>
      <c r="F25" s="639">
        <f>ROUND((M4^2+N4^2+O4^2)/6-$F$33,3)</f>
        <v>48.555</v>
      </c>
      <c r="G25" s="639"/>
      <c r="H25" s="696">
        <f t="shared" ref="H25:H31" si="2">ROUND(F25/D25,4)</f>
        <v>24.2775</v>
      </c>
      <c r="I25" s="696"/>
      <c r="J25" s="8">
        <f t="shared" ref="J25:J30" si="3">IF(F25-D25*$H$31&lt;0,"",F25-D25*$H$31)</f>
        <v>46.943399999999997</v>
      </c>
      <c r="K25" s="694">
        <f t="shared" ref="K25:K32" si="4">IF(J25&lt;&gt;"",J25/$J$32*100,"")</f>
        <v>72.530824140168704</v>
      </c>
      <c r="L25" s="694">
        <f t="shared" si="1"/>
        <v>46.943399999999997</v>
      </c>
      <c r="M25" s="211">
        <f>H25/$H$31</f>
        <v>30.128443782576323</v>
      </c>
      <c r="N25" s="561"/>
      <c r="O25" s="561"/>
      <c r="P25" s="428"/>
    </row>
    <row r="26" spans="1:16">
      <c r="A26" s="428"/>
      <c r="B26" s="632" t="s">
        <v>272</v>
      </c>
      <c r="C26" s="632"/>
      <c r="D26" s="635">
        <v>2</v>
      </c>
      <c r="E26" s="635"/>
      <c r="F26" s="639">
        <f t="shared" ref="F26:F28" si="5">ROUND((M5^2+N5^2+O5^2)/6-$F$33,3)</f>
        <v>1.3160000000000001</v>
      </c>
      <c r="G26" s="639"/>
      <c r="H26" s="696">
        <f t="shared" si="2"/>
        <v>0.65800000000000003</v>
      </c>
      <c r="I26" s="696"/>
      <c r="J26" s="8" t="str">
        <f t="shared" si="3"/>
        <v/>
      </c>
      <c r="K26" s="635" t="str">
        <f t="shared" si="4"/>
        <v/>
      </c>
      <c r="L26" s="635" t="str">
        <f t="shared" si="1"/>
        <v/>
      </c>
      <c r="M26" s="211"/>
      <c r="N26" s="428"/>
      <c r="O26" s="428"/>
      <c r="P26" s="428"/>
    </row>
    <row r="27" spans="1:16">
      <c r="A27" s="428"/>
      <c r="B27" s="632" t="s">
        <v>273</v>
      </c>
      <c r="C27" s="632"/>
      <c r="D27" s="635">
        <v>2</v>
      </c>
      <c r="E27" s="635"/>
      <c r="F27" s="639">
        <f t="shared" si="5"/>
        <v>3.4489999999999998</v>
      </c>
      <c r="G27" s="639"/>
      <c r="H27" s="696">
        <f t="shared" si="2"/>
        <v>1.7244999999999999</v>
      </c>
      <c r="I27" s="696"/>
      <c r="J27" s="8">
        <f t="shared" si="3"/>
        <v>1.8373999999999999</v>
      </c>
      <c r="K27" s="694">
        <f t="shared" si="4"/>
        <v>2.8389110348876727</v>
      </c>
      <c r="L27" s="694">
        <f t="shared" si="1"/>
        <v>1.8373999999999997</v>
      </c>
      <c r="M27" s="211">
        <f>H27/$H$31</f>
        <v>2.1401092082402582</v>
      </c>
      <c r="N27" s="561"/>
      <c r="O27" s="561"/>
      <c r="P27" s="428"/>
    </row>
    <row r="28" spans="1:16">
      <c r="A28" s="428"/>
      <c r="B28" s="632" t="s">
        <v>274</v>
      </c>
      <c r="C28" s="632"/>
      <c r="D28" s="635">
        <v>2</v>
      </c>
      <c r="E28" s="635"/>
      <c r="F28" s="639">
        <f t="shared" si="5"/>
        <v>1.603</v>
      </c>
      <c r="G28" s="639"/>
      <c r="H28" s="696">
        <f t="shared" si="2"/>
        <v>0.80149999999999999</v>
      </c>
      <c r="I28" s="696"/>
      <c r="J28" s="8" t="str">
        <f t="shared" si="3"/>
        <v/>
      </c>
      <c r="K28" s="694" t="str">
        <f t="shared" si="4"/>
        <v/>
      </c>
      <c r="L28" s="694" t="str">
        <f t="shared" si="1"/>
        <v/>
      </c>
      <c r="M28" s="211"/>
      <c r="N28" s="428"/>
      <c r="O28" s="428"/>
      <c r="P28" s="428"/>
    </row>
    <row r="29" spans="1:16">
      <c r="A29" s="428"/>
      <c r="B29" s="632" t="s">
        <v>491</v>
      </c>
      <c r="C29" s="632"/>
      <c r="D29" s="635">
        <v>2</v>
      </c>
      <c r="E29" s="635"/>
      <c r="F29" s="639">
        <f>ROUND((M9^2+N9^2+O9^2)/6-$F$33,3)</f>
        <v>1.9430000000000001</v>
      </c>
      <c r="G29" s="639"/>
      <c r="H29" s="696">
        <f t="shared" si="2"/>
        <v>0.97150000000000003</v>
      </c>
      <c r="I29" s="696"/>
      <c r="J29" s="8">
        <f t="shared" si="3"/>
        <v>0.33140000000000014</v>
      </c>
      <c r="K29" s="694">
        <f t="shared" si="4"/>
        <v>0.51203609282778673</v>
      </c>
      <c r="L29" s="694">
        <f t="shared" si="1"/>
        <v>0.33140000000000014</v>
      </c>
      <c r="M29" s="211">
        <f t="shared" ref="M29:M30" si="6">H29/$H$31</f>
        <v>1.2056341523951353</v>
      </c>
      <c r="N29" s="561"/>
      <c r="O29" s="561"/>
      <c r="P29" s="428"/>
    </row>
    <row r="30" spans="1:16">
      <c r="A30" s="428"/>
      <c r="B30" s="632" t="s">
        <v>492</v>
      </c>
      <c r="C30" s="632"/>
      <c r="D30" s="635">
        <v>2</v>
      </c>
      <c r="E30" s="635"/>
      <c r="F30" s="639">
        <f>ROUND((M10^2+N10^2+O10^2)/6-$F$33,3)</f>
        <v>3.831</v>
      </c>
      <c r="G30" s="639"/>
      <c r="H30" s="696">
        <f t="shared" si="2"/>
        <v>1.9155</v>
      </c>
      <c r="I30" s="696"/>
      <c r="J30" s="8">
        <f t="shared" si="3"/>
        <v>2.2194000000000003</v>
      </c>
      <c r="K30" s="694">
        <f t="shared" si="4"/>
        <v>3.4291276536571798</v>
      </c>
      <c r="L30" s="694">
        <f t="shared" si="1"/>
        <v>2.2194000000000003</v>
      </c>
      <c r="M30" s="211">
        <f t="shared" si="6"/>
        <v>2.3771407297096054</v>
      </c>
      <c r="N30" s="561"/>
      <c r="O30" s="561"/>
      <c r="P30" s="428"/>
    </row>
    <row r="31" spans="1:16">
      <c r="A31" s="428"/>
      <c r="B31" s="632" t="s">
        <v>500</v>
      </c>
      <c r="C31" s="632"/>
      <c r="D31" s="635">
        <f>D32-SUM(D24:E30)</f>
        <v>4</v>
      </c>
      <c r="E31" s="635"/>
      <c r="F31" s="693">
        <f>F32-SUM(F24:G30)</f>
        <v>3.2230000000000061</v>
      </c>
      <c r="G31" s="639"/>
      <c r="H31" s="696">
        <f t="shared" si="2"/>
        <v>0.80579999999999996</v>
      </c>
      <c r="I31" s="696"/>
      <c r="J31" s="562">
        <f>J32-SUM(J24:J30)</f>
        <v>13.390400000000007</v>
      </c>
      <c r="K31" s="694">
        <f t="shared" si="4"/>
        <v>20.689101078458645</v>
      </c>
      <c r="L31" s="694">
        <f t="shared" si="1"/>
        <v>13.390400000000009</v>
      </c>
      <c r="M31" s="428"/>
      <c r="N31" s="428"/>
      <c r="O31" s="428"/>
      <c r="P31" s="428"/>
    </row>
    <row r="32" spans="1:16">
      <c r="A32" s="428"/>
      <c r="B32" s="632" t="s">
        <v>501</v>
      </c>
      <c r="C32" s="632"/>
      <c r="D32" s="635">
        <v>17</v>
      </c>
      <c r="E32" s="635"/>
      <c r="F32" s="693">
        <f>F34-F33</f>
        <v>64.722000000000008</v>
      </c>
      <c r="G32" s="639"/>
      <c r="H32" s="692"/>
      <c r="I32" s="692"/>
      <c r="J32" s="562">
        <f>F32</f>
        <v>64.722000000000008</v>
      </c>
      <c r="K32" s="694">
        <f t="shared" si="4"/>
        <v>100</v>
      </c>
      <c r="L32" s="694">
        <f t="shared" si="1"/>
        <v>64.722000000000008</v>
      </c>
      <c r="M32" s="428"/>
      <c r="N32" s="428"/>
      <c r="O32" s="428"/>
      <c r="P32" s="428"/>
    </row>
    <row r="33" spans="1:16">
      <c r="A33" s="428"/>
      <c r="B33" s="632" t="s">
        <v>485</v>
      </c>
      <c r="C33" s="632"/>
      <c r="D33" s="635">
        <v>1</v>
      </c>
      <c r="E33" s="635"/>
      <c r="F33" s="695">
        <f>ROUND(SUM(J3:J20)^2/COUNT(J3:J20),3)</f>
        <v>139</v>
      </c>
      <c r="G33" s="695"/>
      <c r="H33" s="692"/>
      <c r="I33" s="692"/>
      <c r="J33" s="428"/>
      <c r="K33" s="692"/>
      <c r="L33" s="692"/>
      <c r="M33" s="428"/>
      <c r="N33" s="428"/>
      <c r="O33" s="428"/>
      <c r="P33" s="428"/>
    </row>
    <row r="34" spans="1:16" ht="15.6">
      <c r="A34" s="428"/>
      <c r="B34" s="632" t="s">
        <v>502</v>
      </c>
      <c r="C34" s="632"/>
      <c r="D34" s="635">
        <v>18</v>
      </c>
      <c r="E34" s="635"/>
      <c r="F34" s="639">
        <f>ROUND(SUMSQ(J3:J20),3)</f>
        <v>203.72200000000001</v>
      </c>
      <c r="G34" s="639"/>
      <c r="H34" s="692"/>
      <c r="I34" s="692"/>
      <c r="J34" s="428"/>
      <c r="K34" s="692"/>
      <c r="L34" s="692"/>
      <c r="M34" s="428"/>
      <c r="N34" s="428"/>
      <c r="O34" s="428"/>
      <c r="P34" s="428"/>
    </row>
    <row r="35" spans="1:16">
      <c r="A35" s="428"/>
      <c r="B35" s="428"/>
      <c r="C35" s="428"/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</row>
    <row r="36" spans="1:16">
      <c r="A36" s="428"/>
      <c r="B36" s="428"/>
      <c r="C36" s="428"/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</row>
  </sheetData>
  <mergeCells count="64">
    <mergeCell ref="A1:A2"/>
    <mergeCell ref="J1:J2"/>
    <mergeCell ref="L1:L2"/>
    <mergeCell ref="M1:O1"/>
    <mergeCell ref="B23:C23"/>
    <mergeCell ref="D23:E23"/>
    <mergeCell ref="F23:G23"/>
    <mergeCell ref="H23:I23"/>
    <mergeCell ref="K23:L23"/>
    <mergeCell ref="B25:C25"/>
    <mergeCell ref="D25:E25"/>
    <mergeCell ref="F25:G25"/>
    <mergeCell ref="H25:I25"/>
    <mergeCell ref="K25:L25"/>
    <mergeCell ref="B24:C24"/>
    <mergeCell ref="D24:E24"/>
    <mergeCell ref="F24:G24"/>
    <mergeCell ref="H24:I24"/>
    <mergeCell ref="K24:L24"/>
    <mergeCell ref="B27:C27"/>
    <mergeCell ref="D27:E27"/>
    <mergeCell ref="F27:G27"/>
    <mergeCell ref="H27:I27"/>
    <mergeCell ref="K27:L27"/>
    <mergeCell ref="B26:C26"/>
    <mergeCell ref="D26:E26"/>
    <mergeCell ref="F26:G26"/>
    <mergeCell ref="H26:I26"/>
    <mergeCell ref="K26:L26"/>
    <mergeCell ref="B29:C29"/>
    <mergeCell ref="D29:E29"/>
    <mergeCell ref="F29:G29"/>
    <mergeCell ref="H29:I29"/>
    <mergeCell ref="K29:L29"/>
    <mergeCell ref="B28:C28"/>
    <mergeCell ref="D28:E28"/>
    <mergeCell ref="F28:G28"/>
    <mergeCell ref="H28:I28"/>
    <mergeCell ref="K28:L28"/>
    <mergeCell ref="B31:C31"/>
    <mergeCell ref="D31:E31"/>
    <mergeCell ref="F31:G31"/>
    <mergeCell ref="H31:I31"/>
    <mergeCell ref="K31:L31"/>
    <mergeCell ref="B30:C30"/>
    <mergeCell ref="D30:E30"/>
    <mergeCell ref="F30:G30"/>
    <mergeCell ref="H30:I30"/>
    <mergeCell ref="K30:L30"/>
    <mergeCell ref="B33:C33"/>
    <mergeCell ref="D33:E33"/>
    <mergeCell ref="F33:G33"/>
    <mergeCell ref="H33:I33"/>
    <mergeCell ref="K33:L33"/>
    <mergeCell ref="B32:C32"/>
    <mergeCell ref="D32:E32"/>
    <mergeCell ref="F32:G32"/>
    <mergeCell ref="H32:I32"/>
    <mergeCell ref="K32:L32"/>
    <mergeCell ref="B34:C34"/>
    <mergeCell ref="D34:E34"/>
    <mergeCell ref="F34:G34"/>
    <mergeCell ref="H34:I34"/>
    <mergeCell ref="K34:L3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78</vt:i4>
      </vt:variant>
    </vt:vector>
  </HeadingPairs>
  <TitlesOfParts>
    <vt:vector size="78" baseType="lpstr">
      <vt:lpstr>図表1-5</vt:lpstr>
      <vt:lpstr>図表1-7,8</vt:lpstr>
      <vt:lpstr>図表1-12</vt:lpstr>
      <vt:lpstr>図表1-13</vt:lpstr>
      <vt:lpstr>図表1-16</vt:lpstr>
      <vt:lpstr>図表1-20</vt:lpstr>
      <vt:lpstr>図表1-21</vt:lpstr>
      <vt:lpstr>図表1-22</vt:lpstr>
      <vt:lpstr>図表1-23</vt:lpstr>
      <vt:lpstr>図表1-24</vt:lpstr>
      <vt:lpstr>図表1-26</vt:lpstr>
      <vt:lpstr>図表1-27</vt:lpstr>
      <vt:lpstr>図表1-28</vt:lpstr>
      <vt:lpstr>図表1-29</vt:lpstr>
      <vt:lpstr>図表1-30</vt:lpstr>
      <vt:lpstr>図表1-31</vt:lpstr>
      <vt:lpstr>図表2-4</vt:lpstr>
      <vt:lpstr>図表2-8</vt:lpstr>
      <vt:lpstr>図表2-16</vt:lpstr>
      <vt:lpstr>図表2-22</vt:lpstr>
      <vt:lpstr>図表2-23</vt:lpstr>
      <vt:lpstr>図表2-33</vt:lpstr>
      <vt:lpstr>図表2-34</vt:lpstr>
      <vt:lpstr>図表2-39</vt:lpstr>
      <vt:lpstr>図表2-40</vt:lpstr>
      <vt:lpstr>図表2-41</vt:lpstr>
      <vt:lpstr>図表2-43</vt:lpstr>
      <vt:lpstr>図表2-44</vt:lpstr>
      <vt:lpstr>図表3-1</vt:lpstr>
      <vt:lpstr>図表3-4</vt:lpstr>
      <vt:lpstr>図表3-5</vt:lpstr>
      <vt:lpstr>図表3-7</vt:lpstr>
      <vt:lpstr>図表3-12</vt:lpstr>
      <vt:lpstr>図表3-31</vt:lpstr>
      <vt:lpstr>図表3-35,36</vt:lpstr>
      <vt:lpstr>図表3-37</vt:lpstr>
      <vt:lpstr>図表4-3</vt:lpstr>
      <vt:lpstr>図表4-10</vt:lpstr>
      <vt:lpstr>図表4-11</vt:lpstr>
      <vt:lpstr>図表4-17</vt:lpstr>
      <vt:lpstr>図表4-33</vt:lpstr>
      <vt:lpstr>図表4-35</vt:lpstr>
      <vt:lpstr>図表5-3</vt:lpstr>
      <vt:lpstr>図表5-4</vt:lpstr>
      <vt:lpstr>図表5-17</vt:lpstr>
      <vt:lpstr>図表5-19</vt:lpstr>
      <vt:lpstr>図表5-21</vt:lpstr>
      <vt:lpstr>図表5-23,25,26</vt:lpstr>
      <vt:lpstr>図表6-1,2</vt:lpstr>
      <vt:lpstr>図表6-3,6</vt:lpstr>
      <vt:lpstr>図表6-4</vt:lpstr>
      <vt:lpstr>図表6-5</vt:lpstr>
      <vt:lpstr>図表6-7</vt:lpstr>
      <vt:lpstr>図表6-9</vt:lpstr>
      <vt:lpstr>図表6-10</vt:lpstr>
      <vt:lpstr>図表6-11</vt:lpstr>
      <vt:lpstr>図表6-12</vt:lpstr>
      <vt:lpstr>図表6-13</vt:lpstr>
      <vt:lpstr>図表6-14,15</vt:lpstr>
      <vt:lpstr>図表6-16</vt:lpstr>
      <vt:lpstr>図表6-17</vt:lpstr>
      <vt:lpstr>図表6-18</vt:lpstr>
      <vt:lpstr>図表6-19</vt:lpstr>
      <vt:lpstr>図表6-20,21</vt:lpstr>
      <vt:lpstr>図表6-23</vt:lpstr>
      <vt:lpstr>図表6-24</vt:lpstr>
      <vt:lpstr>図表6-25</vt:lpstr>
      <vt:lpstr>図表6-26</vt:lpstr>
      <vt:lpstr>図表6-27</vt:lpstr>
      <vt:lpstr>図表6-28</vt:lpstr>
      <vt:lpstr>図表6-29</vt:lpstr>
      <vt:lpstr>図表6-30</vt:lpstr>
      <vt:lpstr>図表6-33,34</vt:lpstr>
      <vt:lpstr>図表7-19,20</vt:lpstr>
      <vt:lpstr>図表7-21</vt:lpstr>
      <vt:lpstr>図表7-22</vt:lpstr>
      <vt:lpstr>図表7-24,25</vt:lpstr>
      <vt:lpstr>図表7-30,31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小川正樹</dc:creator>
  <cp:lastModifiedBy>山路和彦</cp:lastModifiedBy>
  <dcterms:created xsi:type="dcterms:W3CDTF">2022-02-26T01:40:09Z</dcterms:created>
  <dcterms:modified xsi:type="dcterms:W3CDTF">2022-03-22T00:28:57Z</dcterms:modified>
</cp:coreProperties>
</file>